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fdaee5eb278441/Documents/Resilience/Resilience GLO/Final MOD/"/>
    </mc:Choice>
  </mc:AlternateContent>
  <xr:revisionPtr revIDLastSave="2" documentId="8_{25CEC81E-FA47-44F5-BD01-DF5D2103F504}" xr6:coauthVersionLast="47" xr6:coauthVersionMax="47" xr10:uidLastSave="{5F115286-E31C-44FE-86A0-19FF119758A4}"/>
  <bookViews>
    <workbookView xWindow="-19310" yWindow="-100" windowWidth="19420" windowHeight="10420" xr2:uid="{7A543A24-B0D4-4C8C-8262-5E5FFE80DB45}"/>
  </bookViews>
  <sheets>
    <sheet name="1.Allocation Summary" sheetId="9" r:id="rId1"/>
    <sheet name="2. HUD MID Calculation" sheetId="1" r:id="rId2"/>
    <sheet name="3.State MID Calculation" sheetId="2" r:id="rId3"/>
  </sheets>
  <definedNames>
    <definedName name="_xlnm.Print_Area" localSheetId="0">'1.Allocation Summary'!$A$1:$E$34</definedName>
    <definedName name="_xlnm.Print_Area" localSheetId="1">'2. HUD MID Calculation'!$A$1:$V$38</definedName>
    <definedName name="_xlnm.Print_Area" localSheetId="2">'3.State MID Calculation'!$A$1:$V$17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9" l="1"/>
  <c r="D35" i="9"/>
  <c r="D2" i="9"/>
  <c r="D5" i="9"/>
  <c r="D6" i="9"/>
  <c r="D33" i="9" l="1"/>
  <c r="E32" i="9"/>
  <c r="D31" i="9"/>
  <c r="D30" i="9"/>
  <c r="E30" i="9" s="1"/>
  <c r="D29" i="9"/>
  <c r="E29" i="9" s="1"/>
  <c r="D28" i="9"/>
  <c r="E28" i="9" s="1"/>
  <c r="D27" i="9"/>
  <c r="E22" i="9"/>
  <c r="D21" i="9"/>
  <c r="E21" i="9" s="1"/>
  <c r="D19" i="9"/>
  <c r="D18" i="9"/>
  <c r="D17" i="9"/>
  <c r="D15" i="9"/>
  <c r="D14" i="9"/>
  <c r="D13" i="9"/>
  <c r="D12" i="9"/>
  <c r="D11" i="9"/>
  <c r="E11" i="9" s="1"/>
  <c r="D10" i="9"/>
  <c r="D9" i="9"/>
  <c r="E9" i="9" s="1"/>
  <c r="D8" i="9"/>
  <c r="V36" i="1"/>
  <c r="V8" i="1" s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14" i="2"/>
  <c r="V7" i="2" s="1"/>
  <c r="V13" i="2"/>
  <c r="V12" i="2"/>
  <c r="V11" i="2"/>
  <c r="V10" i="2"/>
  <c r="V9" i="2"/>
  <c r="V8" i="2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8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D11" i="1"/>
  <c r="E11" i="1" s="1"/>
  <c r="D12" i="1"/>
  <c r="D13" i="1"/>
  <c r="D14" i="1"/>
  <c r="D15" i="1"/>
  <c r="E15" i="1" s="1"/>
  <c r="D16" i="1"/>
  <c r="D17" i="1"/>
  <c r="D18" i="1"/>
  <c r="E18" i="1" s="1"/>
  <c r="D19" i="1"/>
  <c r="E19" i="1" s="1"/>
  <c r="D20" i="1"/>
  <c r="D21" i="1"/>
  <c r="D22" i="1"/>
  <c r="D23" i="1"/>
  <c r="E23" i="1" s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C11" i="1"/>
  <c r="C12" i="1"/>
  <c r="C13" i="1"/>
  <c r="E13" i="1" s="1"/>
  <c r="C14" i="1"/>
  <c r="C15" i="1"/>
  <c r="C16" i="1"/>
  <c r="C17" i="1"/>
  <c r="C18" i="1"/>
  <c r="C19" i="1"/>
  <c r="C20" i="1"/>
  <c r="E20" i="1" s="1"/>
  <c r="C21" i="1"/>
  <c r="E21" i="1" s="1"/>
  <c r="C22" i="1"/>
  <c r="C23" i="1"/>
  <c r="C24" i="1"/>
  <c r="C25" i="1"/>
  <c r="C26" i="1"/>
  <c r="C27" i="1"/>
  <c r="C28" i="1"/>
  <c r="C29" i="1"/>
  <c r="E29" i="1" s="1"/>
  <c r="C30" i="1"/>
  <c r="C31" i="1"/>
  <c r="C32" i="1"/>
  <c r="C33" i="1"/>
  <c r="C34" i="1"/>
  <c r="C35" i="1"/>
  <c r="C36" i="1"/>
  <c r="E14" i="1"/>
  <c r="E16" i="1"/>
  <c r="E17" i="1"/>
  <c r="E22" i="1"/>
  <c r="E24" i="1"/>
  <c r="D4" i="2"/>
  <c r="F1" i="2"/>
  <c r="E20" i="9"/>
  <c r="E10" i="9"/>
  <c r="E31" i="9"/>
  <c r="E33" i="9"/>
  <c r="V15" i="2" l="1"/>
  <c r="E12" i="1"/>
  <c r="P4" i="1"/>
  <c r="Q12" i="1" l="1"/>
  <c r="Q20" i="1"/>
  <c r="Q28" i="1"/>
  <c r="Q36" i="1"/>
  <c r="Q14" i="1"/>
  <c r="Q22" i="1"/>
  <c r="Q30" i="1"/>
  <c r="Q15" i="1"/>
  <c r="Q32" i="1"/>
  <c r="Q13" i="1"/>
  <c r="Q21" i="1"/>
  <c r="Q29" i="1"/>
  <c r="Q17" i="1"/>
  <c r="Q25" i="1"/>
  <c r="Q33" i="1"/>
  <c r="Q19" i="1"/>
  <c r="Q35" i="1"/>
  <c r="Q23" i="1"/>
  <c r="Q24" i="1"/>
  <c r="Q18" i="1"/>
  <c r="Q26" i="1"/>
  <c r="Q34" i="1"/>
  <c r="Q11" i="1"/>
  <c r="Q27" i="1"/>
  <c r="Q31" i="1"/>
  <c r="Q16" i="1"/>
  <c r="P4" i="2"/>
  <c r="L4" i="2" l="1"/>
  <c r="H4" i="2"/>
  <c r="L4" i="1"/>
  <c r="H4" i="1"/>
  <c r="D4" i="1"/>
  <c r="K18" i="1" l="1"/>
  <c r="M18" i="1" s="1"/>
  <c r="R18" i="1" s="1"/>
  <c r="K26" i="1"/>
  <c r="M26" i="1" s="1"/>
  <c r="R26" i="1" s="1"/>
  <c r="K34" i="1"/>
  <c r="M34" i="1" s="1"/>
  <c r="R34" i="1" s="1"/>
  <c r="K11" i="1"/>
  <c r="M11" i="1" s="1"/>
  <c r="R11" i="1" s="1"/>
  <c r="K19" i="1"/>
  <c r="M19" i="1" s="1"/>
  <c r="R19" i="1" s="1"/>
  <c r="K27" i="1"/>
  <c r="M27" i="1" s="1"/>
  <c r="R27" i="1" s="1"/>
  <c r="K35" i="1"/>
  <c r="M35" i="1" s="1"/>
  <c r="R35" i="1" s="1"/>
  <c r="K23" i="1"/>
  <c r="M23" i="1" s="1"/>
  <c r="R23" i="1" s="1"/>
  <c r="K12" i="1"/>
  <c r="M12" i="1" s="1"/>
  <c r="R12" i="1" s="1"/>
  <c r="K20" i="1"/>
  <c r="M20" i="1" s="1"/>
  <c r="R20" i="1" s="1"/>
  <c r="K28" i="1"/>
  <c r="M28" i="1" s="1"/>
  <c r="R28" i="1" s="1"/>
  <c r="K36" i="1"/>
  <c r="M36" i="1" s="1"/>
  <c r="R36" i="1" s="1"/>
  <c r="K31" i="1"/>
  <c r="M31" i="1" s="1"/>
  <c r="R31" i="1" s="1"/>
  <c r="K13" i="1"/>
  <c r="M13" i="1" s="1"/>
  <c r="R13" i="1" s="1"/>
  <c r="K21" i="1"/>
  <c r="M21" i="1" s="1"/>
  <c r="R21" i="1" s="1"/>
  <c r="K29" i="1"/>
  <c r="M29" i="1" s="1"/>
  <c r="R29" i="1" s="1"/>
  <c r="K14" i="1"/>
  <c r="M14" i="1" s="1"/>
  <c r="R14" i="1" s="1"/>
  <c r="K22" i="1"/>
  <c r="M22" i="1" s="1"/>
  <c r="R22" i="1" s="1"/>
  <c r="K30" i="1"/>
  <c r="M30" i="1" s="1"/>
  <c r="R30" i="1" s="1"/>
  <c r="K16" i="1"/>
  <c r="M16" i="1" s="1"/>
  <c r="R16" i="1" s="1"/>
  <c r="K24" i="1"/>
  <c r="M24" i="1" s="1"/>
  <c r="R24" i="1" s="1"/>
  <c r="K32" i="1"/>
  <c r="M32" i="1" s="1"/>
  <c r="R32" i="1" s="1"/>
  <c r="K15" i="1"/>
  <c r="M15" i="1" s="1"/>
  <c r="R15" i="1" s="1"/>
  <c r="K17" i="1"/>
  <c r="M17" i="1" s="1"/>
  <c r="R17" i="1" s="1"/>
  <c r="K25" i="1"/>
  <c r="M25" i="1" s="1"/>
  <c r="R25" i="1" s="1"/>
  <c r="K33" i="1"/>
  <c r="M33" i="1" s="1"/>
  <c r="R33" i="1" s="1"/>
  <c r="G17" i="1"/>
  <c r="I17" i="1" s="1"/>
  <c r="G25" i="1"/>
  <c r="I25" i="1" s="1"/>
  <c r="G33" i="1"/>
  <c r="I33" i="1" s="1"/>
  <c r="G18" i="1"/>
  <c r="I18" i="1" s="1"/>
  <c r="G26" i="1"/>
  <c r="I26" i="1" s="1"/>
  <c r="G11" i="1"/>
  <c r="I11" i="1" s="1"/>
  <c r="G19" i="1"/>
  <c r="I19" i="1" s="1"/>
  <c r="G27" i="1"/>
  <c r="I27" i="1" s="1"/>
  <c r="G35" i="1"/>
  <c r="G13" i="1"/>
  <c r="I13" i="1" s="1"/>
  <c r="G29" i="1"/>
  <c r="I29" i="1" s="1"/>
  <c r="G12" i="1"/>
  <c r="I12" i="1" s="1"/>
  <c r="G20" i="1"/>
  <c r="I20" i="1" s="1"/>
  <c r="G28" i="1"/>
  <c r="I28" i="1" s="1"/>
  <c r="G36" i="1"/>
  <c r="I36" i="1" s="1"/>
  <c r="G21" i="1"/>
  <c r="I21" i="1" s="1"/>
  <c r="G14" i="1"/>
  <c r="I14" i="1" s="1"/>
  <c r="G22" i="1"/>
  <c r="I22" i="1" s="1"/>
  <c r="G30" i="1"/>
  <c r="I30" i="1" s="1"/>
  <c r="G16" i="1"/>
  <c r="I16" i="1" s="1"/>
  <c r="G32" i="1"/>
  <c r="I32" i="1" s="1"/>
  <c r="G34" i="1"/>
  <c r="I34" i="1" s="1"/>
  <c r="G15" i="1"/>
  <c r="I15" i="1" s="1"/>
  <c r="G23" i="1"/>
  <c r="I23" i="1" s="1"/>
  <c r="G31" i="1"/>
  <c r="I31" i="1" s="1"/>
  <c r="G24" i="1"/>
  <c r="I24" i="1" s="1"/>
  <c r="U8" i="2"/>
  <c r="U9" i="2"/>
  <c r="U10" i="2"/>
  <c r="U11" i="2"/>
  <c r="U12" i="2"/>
  <c r="U13" i="2"/>
  <c r="U14" i="2"/>
  <c r="U7" i="2"/>
  <c r="P8" i="2"/>
  <c r="P9" i="2"/>
  <c r="P10" i="2"/>
  <c r="P11" i="2"/>
  <c r="P12" i="2"/>
  <c r="P13" i="2"/>
  <c r="P14" i="2"/>
  <c r="P7" i="2"/>
  <c r="O8" i="2"/>
  <c r="O9" i="2"/>
  <c r="O10" i="2"/>
  <c r="O11" i="2"/>
  <c r="O12" i="2"/>
  <c r="O13" i="2"/>
  <c r="O14" i="2"/>
  <c r="O7" i="2"/>
  <c r="L8" i="2"/>
  <c r="L9" i="2"/>
  <c r="L10" i="2"/>
  <c r="L11" i="2"/>
  <c r="L12" i="2"/>
  <c r="L13" i="2"/>
  <c r="L14" i="2"/>
  <c r="L7" i="2"/>
  <c r="K8" i="2"/>
  <c r="K9" i="2"/>
  <c r="K10" i="2"/>
  <c r="K11" i="2"/>
  <c r="K12" i="2"/>
  <c r="K13" i="2"/>
  <c r="K14" i="2"/>
  <c r="K7" i="2"/>
  <c r="H8" i="2"/>
  <c r="H9" i="2"/>
  <c r="H10" i="2"/>
  <c r="H11" i="2"/>
  <c r="H12" i="2"/>
  <c r="H13" i="2"/>
  <c r="H14" i="2"/>
  <c r="H7" i="2"/>
  <c r="G8" i="2"/>
  <c r="G9" i="2"/>
  <c r="G10" i="2"/>
  <c r="G11" i="2"/>
  <c r="G12" i="2"/>
  <c r="G13" i="2"/>
  <c r="G14" i="2"/>
  <c r="G7" i="2"/>
  <c r="D8" i="2"/>
  <c r="D9" i="2"/>
  <c r="D10" i="2"/>
  <c r="D11" i="2"/>
  <c r="D12" i="2"/>
  <c r="D13" i="2"/>
  <c r="D14" i="2"/>
  <c r="D7" i="2"/>
  <c r="C8" i="2"/>
  <c r="C9" i="2"/>
  <c r="C10" i="2"/>
  <c r="C11" i="2"/>
  <c r="C12" i="2"/>
  <c r="C13" i="2"/>
  <c r="C14" i="2"/>
  <c r="C7" i="2"/>
  <c r="U7" i="1"/>
  <c r="P8" i="1"/>
  <c r="P9" i="1"/>
  <c r="P10" i="1"/>
  <c r="P7" i="1"/>
  <c r="L8" i="1"/>
  <c r="L9" i="1"/>
  <c r="L10" i="1"/>
  <c r="L7" i="1"/>
  <c r="K8" i="1"/>
  <c r="K9" i="1"/>
  <c r="K10" i="1"/>
  <c r="K7" i="1"/>
  <c r="H8" i="1"/>
  <c r="H9" i="1"/>
  <c r="H10" i="1"/>
  <c r="H35" i="1"/>
  <c r="H36" i="1"/>
  <c r="H7" i="1"/>
  <c r="G8" i="1"/>
  <c r="G9" i="1"/>
  <c r="G10" i="1"/>
  <c r="G7" i="1"/>
  <c r="D8" i="1"/>
  <c r="D9" i="1"/>
  <c r="D10" i="1"/>
  <c r="E26" i="1"/>
  <c r="E33" i="1"/>
  <c r="E35" i="1"/>
  <c r="D7" i="1"/>
  <c r="C8" i="1"/>
  <c r="C9" i="1"/>
  <c r="C10" i="1"/>
  <c r="C7" i="1"/>
  <c r="E6" i="9"/>
  <c r="E7" i="9"/>
  <c r="E8" i="9"/>
  <c r="E12" i="9"/>
  <c r="E13" i="9"/>
  <c r="E14" i="9"/>
  <c r="E15" i="9"/>
  <c r="E16" i="9"/>
  <c r="E17" i="9"/>
  <c r="E18" i="9"/>
  <c r="E19" i="9"/>
  <c r="D24" i="9"/>
  <c r="E27" i="9"/>
  <c r="B34" i="9"/>
  <c r="D34" i="9"/>
  <c r="C32" i="9" l="1"/>
  <c r="E34" i="9"/>
  <c r="I35" i="1"/>
  <c r="E28" i="1"/>
  <c r="E34" i="1"/>
  <c r="E25" i="1"/>
  <c r="E32" i="1"/>
  <c r="E31" i="1"/>
  <c r="E30" i="1"/>
  <c r="E36" i="1"/>
  <c r="E27" i="1"/>
  <c r="C31" i="9"/>
  <c r="C30" i="9"/>
  <c r="C29" i="9"/>
  <c r="C28" i="9"/>
  <c r="C33" i="9"/>
  <c r="C27" i="9"/>
  <c r="Q7" i="1"/>
  <c r="C34" i="9" l="1"/>
  <c r="E7" i="2"/>
  <c r="I7" i="2"/>
  <c r="M7" i="2"/>
  <c r="Q7" i="2"/>
  <c r="E8" i="2"/>
  <c r="I8" i="2"/>
  <c r="M8" i="2"/>
  <c r="Q8" i="2"/>
  <c r="E9" i="2"/>
  <c r="I9" i="2"/>
  <c r="M9" i="2"/>
  <c r="Q9" i="2"/>
  <c r="E10" i="2"/>
  <c r="I10" i="2"/>
  <c r="M10" i="2"/>
  <c r="Q10" i="2"/>
  <c r="E11" i="2"/>
  <c r="I11" i="2"/>
  <c r="M11" i="2"/>
  <c r="Q11" i="2"/>
  <c r="E12" i="2"/>
  <c r="I12" i="2"/>
  <c r="M12" i="2"/>
  <c r="Q12" i="2"/>
  <c r="E13" i="2"/>
  <c r="I13" i="2"/>
  <c r="M13" i="2"/>
  <c r="Q13" i="2"/>
  <c r="E14" i="2"/>
  <c r="I14" i="2"/>
  <c r="M14" i="2"/>
  <c r="Q14" i="2"/>
  <c r="E7" i="1"/>
  <c r="I7" i="1"/>
  <c r="M7" i="1"/>
  <c r="E8" i="1"/>
  <c r="I8" i="1"/>
  <c r="M8" i="1"/>
  <c r="Q8" i="1"/>
  <c r="E9" i="1"/>
  <c r="I9" i="1"/>
  <c r="M9" i="1"/>
  <c r="Q9" i="1"/>
  <c r="E10" i="1"/>
  <c r="I10" i="1"/>
  <c r="M10" i="1"/>
  <c r="Q10" i="1"/>
  <c r="R14" i="2" l="1"/>
  <c r="R7" i="2"/>
  <c r="R12" i="2"/>
  <c r="R13" i="2"/>
  <c r="R11" i="2"/>
  <c r="R9" i="2"/>
  <c r="R10" i="2"/>
  <c r="R8" i="2"/>
  <c r="R10" i="1"/>
  <c r="R8" i="1"/>
  <c r="R9" i="1"/>
  <c r="R15" i="2" l="1"/>
  <c r="S11" i="2" s="1"/>
  <c r="T11" i="2" s="1"/>
  <c r="R37" i="1"/>
  <c r="S16" i="1" l="1"/>
  <c r="T16" i="1" s="1"/>
  <c r="S24" i="1"/>
  <c r="T24" i="1" s="1"/>
  <c r="S32" i="1"/>
  <c r="T32" i="1" s="1"/>
  <c r="V32" i="1" s="1"/>
  <c r="S17" i="1"/>
  <c r="T17" i="1" s="1"/>
  <c r="S25" i="1"/>
  <c r="T25" i="1" s="1"/>
  <c r="V25" i="1" s="1"/>
  <c r="S33" i="1"/>
  <c r="T33" i="1" s="1"/>
  <c r="V33" i="1" s="1"/>
  <c r="S13" i="1"/>
  <c r="T13" i="1" s="1"/>
  <c r="S18" i="1"/>
  <c r="T18" i="1" s="1"/>
  <c r="S26" i="1"/>
  <c r="T26" i="1" s="1"/>
  <c r="V26" i="1" s="1"/>
  <c r="S34" i="1"/>
  <c r="T34" i="1" s="1"/>
  <c r="V34" i="1" s="1"/>
  <c r="S21" i="1"/>
  <c r="T21" i="1" s="1"/>
  <c r="S11" i="1"/>
  <c r="T11" i="1" s="1"/>
  <c r="S19" i="1"/>
  <c r="T19" i="1" s="1"/>
  <c r="S27" i="1"/>
  <c r="T27" i="1" s="1"/>
  <c r="V27" i="1" s="1"/>
  <c r="S35" i="1"/>
  <c r="T35" i="1" s="1"/>
  <c r="V35" i="1" s="1"/>
  <c r="S12" i="1"/>
  <c r="T12" i="1" s="1"/>
  <c r="S20" i="1"/>
  <c r="T20" i="1" s="1"/>
  <c r="S28" i="1"/>
  <c r="T28" i="1" s="1"/>
  <c r="V28" i="1" s="1"/>
  <c r="S36" i="1"/>
  <c r="T36" i="1" s="1"/>
  <c r="S14" i="1"/>
  <c r="T14" i="1" s="1"/>
  <c r="S22" i="1"/>
  <c r="T22" i="1" s="1"/>
  <c r="S30" i="1"/>
  <c r="T30" i="1" s="1"/>
  <c r="V30" i="1" s="1"/>
  <c r="S15" i="1"/>
  <c r="T15" i="1" s="1"/>
  <c r="S23" i="1"/>
  <c r="T23" i="1" s="1"/>
  <c r="S31" i="1"/>
  <c r="T31" i="1" s="1"/>
  <c r="V31" i="1" s="1"/>
  <c r="S29" i="1"/>
  <c r="T29" i="1" s="1"/>
  <c r="V29" i="1" s="1"/>
  <c r="S13" i="2"/>
  <c r="T13" i="2" s="1"/>
  <c r="S14" i="2"/>
  <c r="T14" i="2" s="1"/>
  <c r="S12" i="2"/>
  <c r="T12" i="2" s="1"/>
  <c r="S10" i="2"/>
  <c r="T10" i="2" s="1"/>
  <c r="S8" i="2"/>
  <c r="T8" i="2" s="1"/>
  <c r="S7" i="2"/>
  <c r="T7" i="2" s="1"/>
  <c r="S9" i="2"/>
  <c r="T9" i="2" s="1"/>
  <c r="S9" i="1"/>
  <c r="T9" i="1" s="1"/>
  <c r="S7" i="1"/>
  <c r="T7" i="1" s="1"/>
  <c r="S8" i="1"/>
  <c r="T8" i="1" s="1"/>
  <c r="S10" i="1"/>
  <c r="T10" i="1" s="1"/>
  <c r="V37" i="1" l="1"/>
  <c r="E5" i="9"/>
  <c r="B24" i="9"/>
  <c r="E24" i="9" s="1"/>
  <c r="T15" i="2"/>
  <c r="T37" i="1"/>
  <c r="C9" i="9" l="1"/>
  <c r="C19" i="9"/>
  <c r="C20" i="9"/>
  <c r="C21" i="9"/>
  <c r="C22" i="9"/>
  <c r="C5" i="9"/>
  <c r="C13" i="9"/>
  <c r="C12" i="9"/>
  <c r="C6" i="9"/>
  <c r="C8" i="9"/>
  <c r="C18" i="9"/>
  <c r="C14" i="9"/>
  <c r="C7" i="9"/>
  <c r="C10" i="9"/>
  <c r="C15" i="9"/>
  <c r="C17" i="9"/>
  <c r="C16" i="9"/>
  <c r="C11" i="9"/>
  <c r="C2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tc={3A03B2E2-7023-4A52-A1E9-159529461433}</author>
  </authors>
  <commentList>
    <comment ref="A25" authorId="0" shapeId="0" xr:uid="{3A03B2E2-7023-4A52-A1E9-159529461433}">
      <text>
        <t>[Threaded comment]
Your version of Excel allows you to read this threaded comment; however, any edits to it will get removed if the file is opened in a newer version of Excel. Learn more: https://go.microsoft.com/fwlink/?linkid=870924
Comment:
    Allocation rolled into county total. City Manager shared that city is not ready to recieve funds.</t>
      </text>
    </comment>
  </commentList>
</comments>
</file>

<file path=xl/sharedStrings.xml><?xml version="1.0" encoding="utf-8"?>
<sst xmlns="http://schemas.openxmlformats.org/spreadsheetml/2006/main" count="183" uniqueCount="98">
  <si>
    <t>COG:</t>
  </si>
  <si>
    <t>Total Allocation:</t>
  </si>
  <si>
    <t>HUD MID</t>
  </si>
  <si>
    <t>Entity</t>
  </si>
  <si>
    <t>Allocation</t>
  </si>
  <si>
    <t>Percentage of Total Allocation</t>
  </si>
  <si>
    <t>LMI Portion</t>
  </si>
  <si>
    <t>LMI Percentage</t>
  </si>
  <si>
    <t>Total</t>
  </si>
  <si>
    <t>State MID</t>
  </si>
  <si>
    <t>HUD MID Allocation:</t>
  </si>
  <si>
    <t>State MID Allocation:</t>
  </si>
  <si>
    <t xml:space="preserve">City or County </t>
  </si>
  <si>
    <t>Entity Weighted Factor Total (EWFtot)</t>
  </si>
  <si>
    <t xml:space="preserve"> Weighted Factor Total (WFtot)</t>
  </si>
  <si>
    <t>Proportional Weighted Factor (PWF) EWFtot/WFtot</t>
  </si>
  <si>
    <t>Allocation for Formulaic Distribution (AFD)</t>
  </si>
  <si>
    <t>Proportional Distribution     PWF x AFD</t>
  </si>
  <si>
    <t>Maximum Factor Measure:</t>
  </si>
  <si>
    <t>Factor Weight:</t>
  </si>
  <si>
    <t>Factor Measure (FM)</t>
  </si>
  <si>
    <t>Factor Measure Maximum (FMmax)</t>
  </si>
  <si>
    <t>Weight (W)</t>
  </si>
  <si>
    <t>Weighted Factor Wx(FM/FMmax)</t>
  </si>
  <si>
    <t>Weighted Factor Total:</t>
  </si>
  <si>
    <t>Proportional Weighted Factor (PWF)
 EWFtot/WFtot</t>
  </si>
  <si>
    <t xml:space="preserve">Coastal Bend </t>
  </si>
  <si>
    <t xml:space="preserve">Rockport </t>
  </si>
  <si>
    <t xml:space="preserve">Bishop </t>
  </si>
  <si>
    <t xml:space="preserve">Corpus Christi </t>
  </si>
  <si>
    <t>Port Aransas</t>
  </si>
  <si>
    <t>Robstown</t>
  </si>
  <si>
    <t>CBCOG</t>
  </si>
  <si>
    <t>Refugio County</t>
  </si>
  <si>
    <t>Town of Refugio</t>
  </si>
  <si>
    <t>Aransas County</t>
  </si>
  <si>
    <t>Nueces County</t>
  </si>
  <si>
    <t>Aransas Pass</t>
  </si>
  <si>
    <t>Gregory</t>
  </si>
  <si>
    <t>Ingleside</t>
  </si>
  <si>
    <t>Mathis</t>
  </si>
  <si>
    <t>Portland</t>
  </si>
  <si>
    <t xml:space="preserve">Sinton </t>
  </si>
  <si>
    <t>Taft</t>
  </si>
  <si>
    <t>San Patricio County</t>
  </si>
  <si>
    <t>Bee</t>
  </si>
  <si>
    <t>Beeville</t>
  </si>
  <si>
    <t>Jim Wells</t>
  </si>
  <si>
    <t>Alice</t>
  </si>
  <si>
    <t>Kleberg</t>
  </si>
  <si>
    <t>Premont</t>
  </si>
  <si>
    <t>Kingsville</t>
  </si>
  <si>
    <t>Coastal Bend</t>
  </si>
  <si>
    <t>First Distribution Factor: Population 2020</t>
  </si>
  <si>
    <t xml:space="preserve">Kingsville </t>
  </si>
  <si>
    <t>Orange Grove</t>
  </si>
  <si>
    <t>Second Distribution Factor: SoVI</t>
  </si>
  <si>
    <t xml:space="preserve">Third Distribution Factor: % land in flood zone </t>
  </si>
  <si>
    <t xml:space="preserve">Fourth Distribution Factor: Declared Disasters </t>
  </si>
  <si>
    <t>Nueces</t>
  </si>
  <si>
    <t>San Patricio</t>
  </si>
  <si>
    <t>Refugio</t>
  </si>
  <si>
    <t>Aransas</t>
  </si>
  <si>
    <t>Woodsboro</t>
  </si>
  <si>
    <t xml:space="preserve">Fulton </t>
  </si>
  <si>
    <t xml:space="preserve">Agua Dulce </t>
  </si>
  <si>
    <t xml:space="preserve">San Patricio </t>
  </si>
  <si>
    <t>Austwell</t>
  </si>
  <si>
    <t>Council of Governments</t>
  </si>
  <si>
    <t>First Distribution Factor: Population</t>
  </si>
  <si>
    <t>N/A</t>
  </si>
  <si>
    <t>Third Distribution Factor:Percent land in floodplain</t>
  </si>
  <si>
    <t>Fourth Distribution Factor: Disaster Declaration</t>
  </si>
  <si>
    <t>Orange Grove*</t>
  </si>
  <si>
    <t>* population under 2,000, rolled into county allocation</t>
  </si>
  <si>
    <t>Woodsboro *</t>
  </si>
  <si>
    <t>Fulton *</t>
  </si>
  <si>
    <t>Ingleside on the Bay *</t>
  </si>
  <si>
    <t>Driscoll *</t>
  </si>
  <si>
    <t>Agua Dulce *</t>
  </si>
  <si>
    <t>Lake City *</t>
  </si>
  <si>
    <t>Bayside *</t>
  </si>
  <si>
    <t>San Patricio *</t>
  </si>
  <si>
    <t>Lakeside *</t>
  </si>
  <si>
    <t>Austwell *</t>
  </si>
  <si>
    <t>Petronila *</t>
  </si>
  <si>
    <r>
      <t xml:space="preserve">Odem </t>
    </r>
    <r>
      <rPr>
        <sz val="11"/>
        <rFont val="Calibri"/>
        <family val="2"/>
      </rPr>
      <t>**</t>
    </r>
  </si>
  <si>
    <t>** City indicated they are not ready to receive allocation, rolled into county allocation</t>
  </si>
  <si>
    <t>Communities with population under 2,000, rolled into county allocation</t>
  </si>
  <si>
    <t xml:space="preserve">Ingleside on the Bay </t>
  </si>
  <si>
    <t xml:space="preserve">Driscoll </t>
  </si>
  <si>
    <t xml:space="preserve">Lake City </t>
  </si>
  <si>
    <t xml:space="preserve">Bayside </t>
  </si>
  <si>
    <t xml:space="preserve">Lakeside </t>
  </si>
  <si>
    <t xml:space="preserve">Petronila </t>
  </si>
  <si>
    <t>Odem</t>
  </si>
  <si>
    <t>City shared not ready to receive allocation, rolled into county allocation</t>
  </si>
  <si>
    <t>total lmi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</si>
</sst>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7">
    <xf numFmtId="0" fontId="0" fillId="0" borderId="0" xfId="0"/>
    <xf numFmtId="2" fontId="0" fillId="0" borderId="0" xfId="0" applyNumberFormat="1"/>
    <xf numFmtId="44" fontId="0" fillId="0" borderId="0" xfId="2" applyFont="1"/>
    <xf numFmtId="44" fontId="4" fillId="0" borderId="0" xfId="2" applyFont="1" applyBorder="1" applyAlignment="1"/>
    <xf numFmtId="44" fontId="4" fillId="0" borderId="0" xfId="2" applyFont="1" applyBorder="1" applyAlignment="1">
      <alignment horizontal="right"/>
    </xf>
    <xf numFmtId="2" fontId="0" fillId="3" borderId="2" xfId="0" applyNumberFormat="1" applyFill="1" applyBorder="1"/>
    <xf numFmtId="2" fontId="0" fillId="0" borderId="2" xfId="3" applyNumberFormat="1" applyFont="1" applyBorder="1"/>
    <xf numFmtId="2" fontId="0" fillId="3" borderId="3" xfId="0" applyNumberFormat="1" applyFill="1" applyBorder="1"/>
    <xf numFmtId="2" fontId="0" fillId="0" borderId="5" xfId="3" applyNumberFormat="1" applyFont="1" applyBorder="1"/>
    <xf numFmtId="2" fontId="0" fillId="0" borderId="5" xfId="0" applyNumberFormat="1" applyBorder="1"/>
    <xf numFmtId="2" fontId="3" fillId="2" borderId="4" xfId="0" applyNumberFormat="1" applyFont="1" applyFill="1" applyBorder="1"/>
    <xf numFmtId="2" fontId="3" fillId="2" borderId="8" xfId="0" applyNumberFormat="1" applyFont="1" applyFill="1" applyBorder="1"/>
    <xf numFmtId="2" fontId="0" fillId="0" borderId="7" xfId="0" applyNumberFormat="1" applyBorder="1"/>
    <xf numFmtId="2" fontId="0" fillId="4" borderId="9" xfId="0" applyNumberFormat="1" applyFill="1" applyBorder="1"/>
    <xf numFmtId="2" fontId="0" fillId="0" borderId="11" xfId="3" applyNumberFormat="1" applyFont="1" applyBorder="1"/>
    <xf numFmtId="2" fontId="0" fillId="0" borderId="11" xfId="0" applyNumberFormat="1" applyBorder="1"/>
    <xf numFmtId="2" fontId="3" fillId="2" borderId="10" xfId="0" applyNumberFormat="1" applyFont="1" applyFill="1" applyBorder="1"/>
    <xf numFmtId="2" fontId="3" fillId="2" borderId="14" xfId="0" applyNumberFormat="1" applyFont="1" applyFill="1" applyBorder="1"/>
    <xf numFmtId="2" fontId="0" fillId="4" borderId="11" xfId="0" applyNumberFormat="1" applyFill="1" applyBorder="1"/>
    <xf numFmtId="2" fontId="0" fillId="0" borderId="13" xfId="0" applyNumberFormat="1" applyBorder="1"/>
    <xf numFmtId="2" fontId="0" fillId="4" borderId="15" xfId="0" applyNumberFormat="1" applyFill="1" applyBorder="1"/>
    <xf numFmtId="2" fontId="0" fillId="0" borderId="17" xfId="3" applyNumberFormat="1" applyFont="1" applyBorder="1"/>
    <xf numFmtId="2" fontId="0" fillId="0" borderId="17" xfId="0" applyNumberFormat="1" applyBorder="1"/>
    <xf numFmtId="2" fontId="3" fillId="2" borderId="16" xfId="0" applyNumberFormat="1" applyFont="1" applyFill="1" applyBorder="1"/>
    <xf numFmtId="2" fontId="3" fillId="2" borderId="20" xfId="0" applyNumberFormat="1" applyFont="1" applyFill="1" applyBorder="1"/>
    <xf numFmtId="2" fontId="0" fillId="0" borderId="19" xfId="0" applyNumberFormat="1" applyBorder="1"/>
    <xf numFmtId="2" fontId="3" fillId="4" borderId="21" xfId="0" applyNumberFormat="1" applyFont="1" applyFill="1" applyBorder="1"/>
    <xf numFmtId="2" fontId="0" fillId="0" borderId="23" xfId="3" applyNumberFormat="1" applyFont="1" applyBorder="1"/>
    <xf numFmtId="2" fontId="0" fillId="0" borderId="23" xfId="0" applyNumberFormat="1" applyBorder="1"/>
    <xf numFmtId="2" fontId="3" fillId="2" borderId="22" xfId="0" applyNumberFormat="1" applyFont="1" applyFill="1" applyBorder="1"/>
    <xf numFmtId="2" fontId="3" fillId="2" borderId="26" xfId="0" applyNumberFormat="1" applyFont="1" applyFill="1" applyBorder="1"/>
    <xf numFmtId="2" fontId="0" fillId="0" borderId="25" xfId="0" applyNumberFormat="1" applyBorder="1"/>
    <xf numFmtId="2" fontId="0" fillId="0" borderId="29" xfId="3" applyNumberFormat="1" applyFont="1" applyBorder="1"/>
    <xf numFmtId="2" fontId="0" fillId="0" borderId="29" xfId="0" applyNumberFormat="1" applyBorder="1"/>
    <xf numFmtId="2" fontId="3" fillId="2" borderId="28" xfId="0" applyNumberFormat="1" applyFont="1" applyFill="1" applyBorder="1"/>
    <xf numFmtId="2" fontId="3" fillId="2" borderId="32" xfId="0" applyNumberFormat="1" applyFont="1" applyFill="1" applyBorder="1"/>
    <xf numFmtId="2" fontId="0" fillId="0" borderId="31" xfId="0" applyNumberFormat="1" applyBorder="1"/>
    <xf numFmtId="2" fontId="3" fillId="2" borderId="22" xfId="0" applyNumberFormat="1" applyFont="1" applyFill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2" fontId="4" fillId="0" borderId="0" xfId="0" applyNumberFormat="1" applyFont="1"/>
    <xf numFmtId="44" fontId="4" fillId="0" borderId="0" xfId="2" applyFont="1"/>
    <xf numFmtId="44" fontId="4" fillId="0" borderId="0" xfId="2" applyFont="1" applyBorder="1" applyAlignment="1">
      <alignment horizontal="center"/>
    </xf>
    <xf numFmtId="44" fontId="4" fillId="0" borderId="0" xfId="2" applyFont="1" applyAlignment="1"/>
    <xf numFmtId="2" fontId="6" fillId="0" borderId="0" xfId="0" applyNumberFormat="1" applyFont="1"/>
    <xf numFmtId="44" fontId="0" fillId="0" borderId="0" xfId="0" applyNumberFormat="1"/>
    <xf numFmtId="44" fontId="3" fillId="2" borderId="35" xfId="2" applyFont="1" applyFill="1" applyBorder="1"/>
    <xf numFmtId="2" fontId="0" fillId="3" borderId="36" xfId="0" applyNumberFormat="1" applyFill="1" applyBorder="1"/>
    <xf numFmtId="44" fontId="1" fillId="0" borderId="8" xfId="2" applyFont="1" applyBorder="1" applyAlignment="1"/>
    <xf numFmtId="44" fontId="1" fillId="0" borderId="14" xfId="2" applyFont="1" applyBorder="1" applyAlignment="1"/>
    <xf numFmtId="44" fontId="1" fillId="0" borderId="20" xfId="2" applyFont="1" applyBorder="1" applyAlignment="1"/>
    <xf numFmtId="44" fontId="0" fillId="0" borderId="17" xfId="2" applyFont="1" applyFill="1" applyBorder="1"/>
    <xf numFmtId="44" fontId="1" fillId="0" borderId="26" xfId="2" applyFont="1" applyBorder="1" applyAlignment="1"/>
    <xf numFmtId="44" fontId="1" fillId="0" borderId="32" xfId="2" applyFont="1" applyBorder="1" applyAlignment="1"/>
    <xf numFmtId="2" fontId="3" fillId="5" borderId="4" xfId="0" applyNumberFormat="1" applyFont="1" applyFill="1" applyBorder="1"/>
    <xf numFmtId="2" fontId="3" fillId="5" borderId="10" xfId="0" applyNumberFormat="1" applyFont="1" applyFill="1" applyBorder="1"/>
    <xf numFmtId="2" fontId="3" fillId="5" borderId="16" xfId="0" applyNumberFormat="1" applyFont="1" applyFill="1" applyBorder="1"/>
    <xf numFmtId="2" fontId="3" fillId="2" borderId="26" xfId="0" applyNumberFormat="1" applyFont="1" applyFill="1" applyBorder="1" applyAlignment="1">
      <alignment horizontal="center" wrapText="1"/>
    </xf>
    <xf numFmtId="44" fontId="6" fillId="0" borderId="0" xfId="2" applyFont="1" applyBorder="1" applyAlignment="1"/>
    <xf numFmtId="0" fontId="0" fillId="0" borderId="0" xfId="0" applyAlignment="1">
      <alignment wrapText="1"/>
    </xf>
    <xf numFmtId="44" fontId="0" fillId="0" borderId="5" xfId="0" applyNumberFormat="1" applyBorder="1" applyAlignment="1">
      <alignment wrapText="1"/>
    </xf>
    <xf numFmtId="44" fontId="0" fillId="0" borderId="11" xfId="0" applyNumberFormat="1" applyBorder="1" applyAlignment="1">
      <alignment wrapText="1"/>
    </xf>
    <xf numFmtId="10" fontId="0" fillId="0" borderId="16" xfId="3" applyNumberFormat="1" applyFont="1" applyBorder="1" applyAlignment="1">
      <alignment horizontal="center" vertical="center" wrapText="1"/>
    </xf>
    <xf numFmtId="44" fontId="0" fillId="0" borderId="17" xfId="0" applyNumberFormat="1" applyBorder="1" applyAlignment="1">
      <alignment wrapText="1"/>
    </xf>
    <xf numFmtId="44" fontId="0" fillId="0" borderId="23" xfId="0" applyNumberFormat="1" applyBorder="1" applyAlignment="1">
      <alignment wrapText="1"/>
    </xf>
    <xf numFmtId="44" fontId="0" fillId="0" borderId="29" xfId="0" applyNumberFormat="1" applyBorder="1" applyAlignment="1">
      <alignment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0" fillId="0" borderId="5" xfId="3" applyNumberFormat="1" applyFont="1" applyBorder="1" applyAlignment="1">
      <alignment horizontal="center" wrapText="1"/>
    </xf>
    <xf numFmtId="10" fontId="0" fillId="0" borderId="11" xfId="3" applyNumberFormat="1" applyFont="1" applyBorder="1" applyAlignment="1">
      <alignment horizontal="center" wrapText="1"/>
    </xf>
    <xf numFmtId="10" fontId="0" fillId="0" borderId="17" xfId="3" applyNumberFormat="1" applyFont="1" applyBorder="1" applyAlignment="1">
      <alignment horizontal="center" wrapText="1"/>
    </xf>
    <xf numFmtId="10" fontId="0" fillId="0" borderId="23" xfId="3" applyNumberFormat="1" applyFont="1" applyBorder="1" applyAlignment="1">
      <alignment horizontal="center" wrapText="1"/>
    </xf>
    <xf numFmtId="10" fontId="0" fillId="0" borderId="29" xfId="3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4" fontId="0" fillId="0" borderId="0" xfId="2" applyFont="1" applyAlignment="1">
      <alignment wrapText="1"/>
    </xf>
    <xf numFmtId="2" fontId="8" fillId="4" borderId="21" xfId="0" applyNumberFormat="1" applyFont="1" applyFill="1" applyBorder="1"/>
    <xf numFmtId="2" fontId="7" fillId="4" borderId="15" xfId="0" applyNumberFormat="1" applyFont="1" applyFill="1" applyBorder="1"/>
    <xf numFmtId="2" fontId="7" fillId="4" borderId="9" xfId="0" applyNumberFormat="1" applyFont="1" applyFill="1" applyBorder="1"/>
    <xf numFmtId="0" fontId="3" fillId="0" borderId="47" xfId="0" applyFont="1" applyBorder="1" applyAlignment="1">
      <alignment wrapText="1"/>
    </xf>
    <xf numFmtId="44" fontId="3" fillId="0" borderId="46" xfId="0" applyNumberFormat="1" applyFont="1" applyBorder="1" applyAlignment="1">
      <alignment wrapText="1"/>
    </xf>
    <xf numFmtId="10" fontId="3" fillId="0" borderId="46" xfId="3" applyNumberFormat="1" applyFont="1" applyBorder="1" applyAlignment="1">
      <alignment horizontal="center" wrapText="1"/>
    </xf>
    <xf numFmtId="10" fontId="3" fillId="0" borderId="45" xfId="3" applyNumberFormat="1" applyFont="1" applyBorder="1" applyAlignment="1">
      <alignment horizontal="center" wrapText="1"/>
    </xf>
    <xf numFmtId="2" fontId="3" fillId="2" borderId="22" xfId="0" applyNumberFormat="1" applyFont="1" applyFill="1" applyBorder="1" applyAlignment="1">
      <alignment horizontal="center" wrapText="1"/>
    </xf>
    <xf numFmtId="2" fontId="0" fillId="0" borderId="24" xfId="0" applyNumberFormat="1" applyBorder="1" applyAlignment="1">
      <alignment horizontal="center" wrapText="1"/>
    </xf>
    <xf numFmtId="0" fontId="0" fillId="0" borderId="0" xfId="0" applyAlignment="1">
      <alignment horizontal="left" wrapText="1"/>
    </xf>
    <xf numFmtId="2" fontId="9" fillId="0" borderId="0" xfId="0" applyNumberFormat="1" applyFont="1" applyAlignment="1">
      <alignment horizontal="left"/>
    </xf>
    <xf numFmtId="10" fontId="3" fillId="0" borderId="45" xfId="3" applyNumberFormat="1" applyFont="1" applyBorder="1" applyAlignment="1">
      <alignment horizontal="center" vertical="center" wrapText="1"/>
    </xf>
    <xf numFmtId="2" fontId="0" fillId="3" borderId="48" xfId="0" applyNumberFormat="1" applyFill="1" applyBorder="1"/>
    <xf numFmtId="2" fontId="0" fillId="3" borderId="1" xfId="0" applyNumberFormat="1" applyFill="1" applyBorder="1"/>
    <xf numFmtId="44" fontId="0" fillId="0" borderId="17" xfId="2" applyFont="1" applyBorder="1" applyAlignment="1">
      <alignment wrapText="1"/>
    </xf>
    <xf numFmtId="44" fontId="0" fillId="0" borderId="11" xfId="2" applyFont="1" applyBorder="1" applyAlignment="1">
      <alignment wrapText="1"/>
    </xf>
    <xf numFmtId="44" fontId="0" fillId="0" borderId="5" xfId="2" applyFont="1" applyBorder="1" applyAlignment="1">
      <alignment wrapText="1"/>
    </xf>
    <xf numFmtId="44" fontId="0" fillId="0" borderId="29" xfId="2" applyFont="1" applyBorder="1" applyAlignment="1">
      <alignment wrapText="1"/>
    </xf>
    <xf numFmtId="44" fontId="0" fillId="0" borderId="23" xfId="2" applyFont="1" applyBorder="1" applyAlignment="1">
      <alignment wrapText="1"/>
    </xf>
    <xf numFmtId="44" fontId="3" fillId="0" borderId="46" xfId="2" applyFont="1" applyBorder="1" applyAlignment="1">
      <alignment wrapText="1"/>
    </xf>
    <xf numFmtId="44" fontId="5" fillId="0" borderId="0" xfId="2" applyFont="1" applyBorder="1" applyAlignment="1"/>
    <xf numFmtId="0" fontId="5" fillId="0" borderId="0" xfId="2" applyNumberFormat="1" applyFont="1" applyBorder="1" applyAlignment="1"/>
    <xf numFmtId="44" fontId="1" fillId="0" borderId="10" xfId="2" applyFont="1" applyBorder="1" applyAlignment="1"/>
    <xf numFmtId="44" fontId="1" fillId="2" borderId="38" xfId="2" applyFont="1" applyFill="1" applyBorder="1"/>
    <xf numFmtId="44" fontId="1" fillId="0" borderId="16" xfId="2" applyFont="1" applyBorder="1" applyAlignment="1"/>
    <xf numFmtId="44" fontId="1" fillId="2" borderId="39" xfId="2" applyFont="1" applyFill="1" applyBorder="1"/>
    <xf numFmtId="44" fontId="1" fillId="2" borderId="37" xfId="2" applyFont="1" applyFill="1" applyBorder="1"/>
    <xf numFmtId="2" fontId="0" fillId="3" borderId="32" xfId="0" applyNumberFormat="1" applyFill="1" applyBorder="1"/>
    <xf numFmtId="2" fontId="0" fillId="3" borderId="30" xfId="0" applyNumberFormat="1" applyFill="1" applyBorder="1"/>
    <xf numFmtId="2" fontId="0" fillId="3" borderId="29" xfId="0" applyNumberFormat="1" applyFill="1" applyBorder="1"/>
    <xf numFmtId="2" fontId="3" fillId="0" borderId="3" xfId="0" applyNumberFormat="1" applyFont="1" applyBorder="1"/>
    <xf numFmtId="2" fontId="0" fillId="3" borderId="49" xfId="0" applyNumberFormat="1" applyFill="1" applyBorder="1"/>
    <xf numFmtId="2" fontId="0" fillId="0" borderId="23" xfId="0" applyNumberFormat="1" applyBorder="1" applyAlignment="1">
      <alignment horizontal="center" wrapText="1"/>
    </xf>
    <xf numFmtId="2" fontId="0" fillId="0" borderId="25" xfId="0" applyNumberFormat="1" applyBorder="1" applyAlignment="1">
      <alignment horizontal="center" wrapText="1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0" fillId="0" borderId="18" xfId="2" applyNumberFormat="1" applyFont="1" applyFill="1" applyBorder="1"/>
    <xf numFmtId="0" fontId="0" fillId="0" borderId="17" xfId="2" applyNumberFormat="1" applyFont="1" applyBorder="1"/>
    <xf numFmtId="0" fontId="0" fillId="0" borderId="17" xfId="0" applyBorder="1"/>
    <xf numFmtId="0" fontId="0" fillId="0" borderId="12" xfId="2" applyNumberFormat="1" applyFont="1" applyFill="1" applyBorder="1"/>
    <xf numFmtId="0" fontId="0" fillId="0" borderId="11" xfId="2" applyNumberFormat="1" applyFont="1" applyBorder="1"/>
    <xf numFmtId="0" fontId="0" fillId="0" borderId="11" xfId="0" applyBorder="1"/>
    <xf numFmtId="0" fontId="0" fillId="0" borderId="6" xfId="2" applyNumberFormat="1" applyFont="1" applyFill="1" applyBorder="1"/>
    <xf numFmtId="0" fontId="0" fillId="0" borderId="5" xfId="2" applyNumberFormat="1" applyFont="1" applyBorder="1"/>
    <xf numFmtId="0" fontId="0" fillId="0" borderId="5" xfId="0" applyBorder="1"/>
    <xf numFmtId="0" fontId="0" fillId="0" borderId="29" xfId="0" applyBorder="1"/>
    <xf numFmtId="0" fontId="0" fillId="0" borderId="23" xfId="0" applyBorder="1"/>
    <xf numFmtId="0" fontId="0" fillId="0" borderId="19" xfId="3" applyNumberFormat="1" applyFont="1" applyFill="1" applyBorder="1"/>
    <xf numFmtId="0" fontId="0" fillId="0" borderId="17" xfId="3" applyNumberFormat="1" applyFont="1" applyFill="1" applyBorder="1"/>
    <xf numFmtId="0" fontId="0" fillId="4" borderId="17" xfId="0" applyFill="1" applyBorder="1"/>
    <xf numFmtId="0" fontId="0" fillId="0" borderId="11" xfId="3" applyNumberFormat="1" applyFont="1" applyFill="1" applyBorder="1"/>
    <xf numFmtId="0" fontId="0" fillId="4" borderId="11" xfId="0" applyFill="1" applyBorder="1"/>
    <xf numFmtId="0" fontId="0" fillId="0" borderId="5" xfId="3" applyNumberFormat="1" applyFont="1" applyFill="1" applyBorder="1"/>
    <xf numFmtId="0" fontId="0" fillId="4" borderId="5" xfId="0" applyFill="1" applyBorder="1"/>
    <xf numFmtId="0" fontId="0" fillId="4" borderId="29" xfId="0" applyFill="1" applyBorder="1"/>
    <xf numFmtId="0" fontId="0" fillId="4" borderId="23" xfId="0" applyFill="1" applyBorder="1"/>
    <xf numFmtId="0" fontId="0" fillId="0" borderId="18" xfId="1" applyNumberFormat="1" applyFont="1" applyFill="1" applyBorder="1"/>
    <xf numFmtId="0" fontId="0" fillId="0" borderId="17" xfId="1" applyNumberFormat="1" applyFont="1" applyBorder="1"/>
    <xf numFmtId="0" fontId="0" fillId="0" borderId="11" xfId="1" applyNumberFormat="1" applyFont="1" applyBorder="1"/>
    <xf numFmtId="0" fontId="0" fillId="0" borderId="5" xfId="1" applyNumberFormat="1" applyFont="1" applyBorder="1"/>
    <xf numFmtId="0" fontId="0" fillId="0" borderId="29" xfId="1" applyNumberFormat="1" applyFont="1" applyBorder="1"/>
    <xf numFmtId="0" fontId="0" fillId="0" borderId="23" xfId="1" applyNumberFormat="1" applyFont="1" applyBorder="1"/>
    <xf numFmtId="0" fontId="0" fillId="0" borderId="19" xfId="0" applyBorder="1"/>
    <xf numFmtId="0" fontId="0" fillId="0" borderId="17" xfId="2" applyNumberFormat="1" applyFont="1" applyFill="1" applyBorder="1"/>
    <xf numFmtId="0" fontId="0" fillId="0" borderId="11" xfId="2" applyNumberFormat="1" applyFont="1" applyFill="1" applyBorder="1"/>
    <xf numFmtId="0" fontId="0" fillId="0" borderId="5" xfId="2" applyNumberFormat="1" applyFont="1" applyFill="1" applyBorder="1"/>
    <xf numFmtId="0" fontId="0" fillId="0" borderId="29" xfId="2" applyNumberFormat="1" applyFont="1" applyFill="1" applyBorder="1"/>
    <xf numFmtId="0" fontId="0" fillId="0" borderId="23" xfId="2" applyNumberFormat="1" applyFont="1" applyFill="1" applyBorder="1"/>
    <xf numFmtId="0" fontId="0" fillId="0" borderId="18" xfId="1" applyNumberFormat="1" applyFont="1" applyBorder="1"/>
    <xf numFmtId="0" fontId="0" fillId="0" borderId="12" xfId="1" applyNumberFormat="1" applyFont="1" applyBorder="1"/>
    <xf numFmtId="0" fontId="0" fillId="0" borderId="6" xfId="1" applyNumberFormat="1" applyFont="1" applyBorder="1"/>
    <xf numFmtId="0" fontId="0" fillId="0" borderId="30" xfId="1" applyNumberFormat="1" applyFont="1" applyBorder="1"/>
    <xf numFmtId="0" fontId="0" fillId="0" borderId="24" xfId="1" applyNumberFormat="1" applyFont="1" applyBorder="1"/>
    <xf numFmtId="0" fontId="0" fillId="0" borderId="12" xfId="1" applyNumberFormat="1" applyFont="1" applyFill="1" applyBorder="1"/>
    <xf numFmtId="0" fontId="0" fillId="0" borderId="6" xfId="1" applyNumberFormat="1" applyFont="1" applyFill="1" applyBorder="1"/>
    <xf numFmtId="0" fontId="0" fillId="0" borderId="30" xfId="1" applyNumberFormat="1" applyFont="1" applyFill="1" applyBorder="1"/>
    <xf numFmtId="0" fontId="0" fillId="0" borderId="24" xfId="1" applyNumberFormat="1" applyFont="1" applyFill="1" applyBorder="1"/>
    <xf numFmtId="44" fontId="5" fillId="0" borderId="34" xfId="2" applyFont="1" applyBorder="1" applyAlignment="1"/>
    <xf numFmtId="2" fontId="0" fillId="4" borderId="50" xfId="0" applyNumberFormat="1" applyFill="1" applyBorder="1"/>
    <xf numFmtId="2" fontId="3" fillId="4" borderId="15" xfId="0" applyNumberFormat="1" applyFont="1" applyFill="1" applyBorder="1"/>
    <xf numFmtId="2" fontId="0" fillId="4" borderId="33" xfId="0" applyNumberFormat="1" applyFill="1" applyBorder="1"/>
    <xf numFmtId="2" fontId="0" fillId="4" borderId="51" xfId="0" applyNumberFormat="1" applyFill="1" applyBorder="1"/>
    <xf numFmtId="44" fontId="0" fillId="0" borderId="52" xfId="2" applyFont="1" applyBorder="1" applyAlignment="1">
      <alignment wrapText="1"/>
    </xf>
    <xf numFmtId="44" fontId="0" fillId="0" borderId="52" xfId="0" applyNumberFormat="1" applyBorder="1" applyAlignment="1">
      <alignment wrapText="1"/>
    </xf>
    <xf numFmtId="2" fontId="0" fillId="4" borderId="21" xfId="0" applyNumberFormat="1" applyFill="1" applyBorder="1"/>
    <xf numFmtId="2" fontId="3" fillId="4" borderId="27" xfId="0" applyNumberFormat="1" applyFont="1" applyFill="1" applyBorder="1"/>
    <xf numFmtId="2" fontId="0" fillId="4" borderId="27" xfId="0" applyNumberFormat="1" applyFill="1" applyBorder="1"/>
    <xf numFmtId="2" fontId="3" fillId="4" borderId="9" xfId="0" applyNumberFormat="1" applyFont="1" applyFill="1" applyBorder="1"/>
    <xf numFmtId="43" fontId="0" fillId="0" borderId="19" xfId="1" applyFont="1" applyFill="1" applyBorder="1"/>
    <xf numFmtId="43" fontId="0" fillId="0" borderId="13" xfId="1" applyFont="1" applyFill="1" applyBorder="1"/>
    <xf numFmtId="43" fontId="0" fillId="0" borderId="7" xfId="1" applyFont="1" applyFill="1" applyBorder="1"/>
    <xf numFmtId="43" fontId="0" fillId="0" borderId="31" xfId="1" applyFont="1" applyFill="1" applyBorder="1"/>
    <xf numFmtId="43" fontId="0" fillId="0" borderId="25" xfId="1" applyFont="1" applyFill="1" applyBorder="1"/>
    <xf numFmtId="2" fontId="7" fillId="4" borderId="21" xfId="0" applyNumberFormat="1" applyFont="1" applyFill="1" applyBorder="1"/>
    <xf numFmtId="2" fontId="8" fillId="4" borderId="15" xfId="0" applyNumberFormat="1" applyFont="1" applyFill="1" applyBorder="1"/>
    <xf numFmtId="2" fontId="8" fillId="4" borderId="9" xfId="0" applyNumberFormat="1" applyFont="1" applyFill="1" applyBorder="1"/>
    <xf numFmtId="43" fontId="0" fillId="0" borderId="13" xfId="1" applyFont="1" applyBorder="1"/>
    <xf numFmtId="43" fontId="0" fillId="0" borderId="7" xfId="1" applyFont="1" applyBorder="1"/>
    <xf numFmtId="43" fontId="0" fillId="0" borderId="53" xfId="1" applyFont="1" applyBorder="1"/>
    <xf numFmtId="43" fontId="0" fillId="0" borderId="17" xfId="1" applyFont="1" applyBorder="1"/>
    <xf numFmtId="43" fontId="0" fillId="0" borderId="11" xfId="1" applyFont="1" applyBorder="1"/>
    <xf numFmtId="43" fontId="0" fillId="0" borderId="5" xfId="1" applyFont="1" applyBorder="1"/>
    <xf numFmtId="2" fontId="0" fillId="0" borderId="13" xfId="3" applyNumberFormat="1" applyFont="1" applyFill="1" applyBorder="1"/>
    <xf numFmtId="2" fontId="0" fillId="0" borderId="7" xfId="3" applyNumberFormat="1" applyFont="1" applyFill="1" applyBorder="1"/>
    <xf numFmtId="2" fontId="0" fillId="0" borderId="19" xfId="3" applyNumberFormat="1" applyFont="1" applyFill="1" applyBorder="1"/>
    <xf numFmtId="1" fontId="7" fillId="0" borderId="11" xfId="0" applyNumberFormat="1" applyFont="1" applyBorder="1"/>
    <xf numFmtId="1" fontId="0" fillId="0" borderId="11" xfId="0" applyNumberFormat="1" applyBorder="1"/>
    <xf numFmtId="0" fontId="7" fillId="0" borderId="11" xfId="3" applyNumberFormat="1" applyFont="1" applyFill="1" applyBorder="1"/>
    <xf numFmtId="9" fontId="0" fillId="0" borderId="19" xfId="3" applyFont="1" applyFill="1" applyBorder="1"/>
    <xf numFmtId="9" fontId="0" fillId="0" borderId="13" xfId="3" applyFont="1" applyFill="1" applyBorder="1"/>
    <xf numFmtId="9" fontId="0" fillId="0" borderId="7" xfId="3" applyFont="1" applyFill="1" applyBorder="1"/>
    <xf numFmtId="9" fontId="0" fillId="0" borderId="31" xfId="3" applyFont="1" applyFill="1" applyBorder="1"/>
    <xf numFmtId="9" fontId="0" fillId="0" borderId="13" xfId="3" applyFont="1" applyBorder="1"/>
    <xf numFmtId="9" fontId="0" fillId="0" borderId="25" xfId="3" applyFont="1" applyBorder="1"/>
    <xf numFmtId="164" fontId="0" fillId="2" borderId="39" xfId="2" applyNumberFormat="1" applyFont="1" applyFill="1" applyBorder="1"/>
    <xf numFmtId="164" fontId="0" fillId="2" borderId="38" xfId="2" applyNumberFormat="1" applyFont="1" applyFill="1" applyBorder="1"/>
    <xf numFmtId="164" fontId="0" fillId="2" borderId="37" xfId="2" applyNumberFormat="1" applyFont="1" applyFill="1" applyBorder="1"/>
    <xf numFmtId="164" fontId="0" fillId="2" borderId="41" xfId="2" applyNumberFormat="1" applyFont="1" applyFill="1" applyBorder="1"/>
    <xf numFmtId="164" fontId="0" fillId="2" borderId="40" xfId="2" applyNumberFormat="1" applyFont="1" applyFill="1" applyBorder="1"/>
    <xf numFmtId="164" fontId="0" fillId="0" borderId="0" xfId="0" applyNumberFormat="1"/>
    <xf numFmtId="43" fontId="0" fillId="0" borderId="0" xfId="1" applyFont="1"/>
    <xf numFmtId="44" fontId="3" fillId="0" borderId="0" xfId="2" applyFont="1" applyBorder="1" applyAlignment="1">
      <alignment horizontal="center" vertical="center" wrapText="1"/>
    </xf>
    <xf numFmtId="44" fontId="0" fillId="0" borderId="0" xfId="2" applyFont="1" applyBorder="1" applyAlignment="1">
      <alignment wrapText="1"/>
    </xf>
    <xf numFmtId="44" fontId="3" fillId="0" borderId="0" xfId="2" applyFont="1" applyBorder="1" applyAlignment="1">
      <alignment wrapText="1"/>
    </xf>
    <xf numFmtId="2" fontId="7" fillId="0" borderId="0" xfId="0" applyNumberFormat="1" applyFont="1"/>
    <xf numFmtId="2" fontId="8" fillId="0" borderId="0" xfId="0" applyNumberFormat="1" applyFont="1"/>
    <xf numFmtId="2" fontId="0" fillId="4" borderId="51" xfId="0" applyNumberForma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6" borderId="11" xfId="0" applyFill="1" applyBorder="1" applyAlignment="1">
      <alignment wrapText="1"/>
    </xf>
    <xf numFmtId="2" fontId="7" fillId="7" borderId="15" xfId="0" applyNumberFormat="1" applyFont="1" applyFill="1" applyBorder="1"/>
    <xf numFmtId="43" fontId="0" fillId="7" borderId="31" xfId="1" applyFont="1" applyFill="1" applyBorder="1"/>
    <xf numFmtId="43" fontId="0" fillId="7" borderId="11" xfId="1" applyFont="1" applyFill="1" applyBorder="1"/>
    <xf numFmtId="0" fontId="0" fillId="7" borderId="11" xfId="0" applyFill="1" applyBorder="1"/>
    <xf numFmtId="2" fontId="3" fillId="7" borderId="10" xfId="0" applyNumberFormat="1" applyFont="1" applyFill="1" applyBorder="1"/>
    <xf numFmtId="0" fontId="0" fillId="7" borderId="12" xfId="2" applyNumberFormat="1" applyFont="1" applyFill="1" applyBorder="1"/>
    <xf numFmtId="0" fontId="0" fillId="7" borderId="11" xfId="2" applyNumberFormat="1" applyFont="1" applyFill="1" applyBorder="1"/>
    <xf numFmtId="2" fontId="3" fillId="7" borderId="14" xfId="0" applyNumberFormat="1" applyFont="1" applyFill="1" applyBorder="1"/>
    <xf numFmtId="2" fontId="0" fillId="7" borderId="13" xfId="3" applyNumberFormat="1" applyFont="1" applyFill="1" applyBorder="1"/>
    <xf numFmtId="0" fontId="0" fillId="7" borderId="11" xfId="3" applyNumberFormat="1" applyFont="1" applyFill="1" applyBorder="1"/>
    <xf numFmtId="1" fontId="11" fillId="7" borderId="5" xfId="0" applyNumberFormat="1" applyFont="1" applyFill="1" applyBorder="1"/>
    <xf numFmtId="0" fontId="0" fillId="7" borderId="11" xfId="1" applyNumberFormat="1" applyFont="1" applyFill="1" applyBorder="1"/>
    <xf numFmtId="2" fontId="0" fillId="7" borderId="13" xfId="0" applyNumberFormat="1" applyFill="1" applyBorder="1"/>
    <xf numFmtId="2" fontId="0" fillId="7" borderId="11" xfId="0" applyNumberFormat="1" applyFill="1" applyBorder="1"/>
    <xf numFmtId="2" fontId="0" fillId="7" borderId="11" xfId="3" applyNumberFormat="1" applyFont="1" applyFill="1" applyBorder="1"/>
    <xf numFmtId="44" fontId="1" fillId="7" borderId="10" xfId="2" applyFont="1" applyFill="1" applyBorder="1" applyAlignment="1"/>
    <xf numFmtId="44" fontId="1" fillId="7" borderId="37" xfId="2" applyFont="1" applyFill="1" applyBorder="1"/>
    <xf numFmtId="2" fontId="7" fillId="7" borderId="9" xfId="0" applyNumberFormat="1" applyFont="1" applyFill="1" applyBorder="1"/>
    <xf numFmtId="43" fontId="0" fillId="7" borderId="13" xfId="1" applyFont="1" applyFill="1" applyBorder="1"/>
    <xf numFmtId="43" fontId="0" fillId="7" borderId="5" xfId="1" applyFont="1" applyFill="1" applyBorder="1"/>
    <xf numFmtId="0" fontId="0" fillId="7" borderId="5" xfId="0" applyFill="1" applyBorder="1"/>
    <xf numFmtId="2" fontId="3" fillId="7" borderId="4" xfId="0" applyNumberFormat="1" applyFont="1" applyFill="1" applyBorder="1"/>
    <xf numFmtId="0" fontId="0" fillId="7" borderId="6" xfId="2" applyNumberFormat="1" applyFont="1" applyFill="1" applyBorder="1"/>
    <xf numFmtId="0" fontId="0" fillId="7" borderId="5" xfId="2" applyNumberFormat="1" applyFont="1" applyFill="1" applyBorder="1"/>
    <xf numFmtId="2" fontId="3" fillId="7" borderId="8" xfId="0" applyNumberFormat="1" applyFont="1" applyFill="1" applyBorder="1"/>
    <xf numFmtId="2" fontId="0" fillId="7" borderId="7" xfId="3" applyNumberFormat="1" applyFont="1" applyFill="1" applyBorder="1"/>
    <xf numFmtId="0" fontId="0" fillId="7" borderId="5" xfId="3" applyNumberFormat="1" applyFont="1" applyFill="1" applyBorder="1"/>
    <xf numFmtId="1" fontId="0" fillId="7" borderId="29" xfId="0" applyNumberFormat="1" applyFill="1" applyBorder="1"/>
    <xf numFmtId="0" fontId="0" fillId="7" borderId="5" xfId="1" applyNumberFormat="1" applyFont="1" applyFill="1" applyBorder="1"/>
    <xf numFmtId="2" fontId="0" fillId="7" borderId="7" xfId="0" applyNumberFormat="1" applyFill="1" applyBorder="1"/>
    <xf numFmtId="2" fontId="0" fillId="7" borderId="5" xfId="0" applyNumberFormat="1" applyFill="1" applyBorder="1"/>
    <xf numFmtId="2" fontId="0" fillId="7" borderId="5" xfId="3" applyNumberFormat="1" applyFont="1" applyFill="1" applyBorder="1"/>
    <xf numFmtId="44" fontId="1" fillId="7" borderId="38" xfId="2" applyFont="1" applyFill="1" applyBorder="1"/>
    <xf numFmtId="2" fontId="7" fillId="7" borderId="21" xfId="0" applyNumberFormat="1" applyFont="1" applyFill="1" applyBorder="1"/>
    <xf numFmtId="43" fontId="0" fillId="7" borderId="17" xfId="1" applyFont="1" applyFill="1" applyBorder="1"/>
    <xf numFmtId="0" fontId="0" fillId="7" borderId="17" xfId="0" applyFill="1" applyBorder="1"/>
    <xf numFmtId="2" fontId="3" fillId="7" borderId="16" xfId="0" applyNumberFormat="1" applyFont="1" applyFill="1" applyBorder="1"/>
    <xf numFmtId="0" fontId="0" fillId="7" borderId="18" xfId="2" applyNumberFormat="1" applyFont="1" applyFill="1" applyBorder="1"/>
    <xf numFmtId="0" fontId="0" fillId="7" borderId="17" xfId="2" applyNumberFormat="1" applyFont="1" applyFill="1" applyBorder="1"/>
    <xf numFmtId="2" fontId="3" fillId="7" borderId="20" xfId="0" applyNumberFormat="1" applyFont="1" applyFill="1" applyBorder="1"/>
    <xf numFmtId="2" fontId="0" fillId="7" borderId="19" xfId="3" applyNumberFormat="1" applyFont="1" applyFill="1" applyBorder="1"/>
    <xf numFmtId="0" fontId="0" fillId="7" borderId="17" xfId="3" applyNumberFormat="1" applyFont="1" applyFill="1" applyBorder="1"/>
    <xf numFmtId="1" fontId="0" fillId="7" borderId="11" xfId="0" applyNumberFormat="1" applyFill="1" applyBorder="1"/>
    <xf numFmtId="0" fontId="0" fillId="7" borderId="17" xfId="1" applyNumberFormat="1" applyFont="1" applyFill="1" applyBorder="1"/>
    <xf numFmtId="2" fontId="0" fillId="7" borderId="19" xfId="0" applyNumberFormat="1" applyFill="1" applyBorder="1"/>
    <xf numFmtId="2" fontId="0" fillId="7" borderId="17" xfId="0" applyNumberFormat="1" applyFill="1" applyBorder="1"/>
    <xf numFmtId="2" fontId="0" fillId="7" borderId="17" xfId="3" applyNumberFormat="1" applyFont="1" applyFill="1" applyBorder="1"/>
    <xf numFmtId="43" fontId="0" fillId="7" borderId="25" xfId="1" applyFont="1" applyFill="1" applyBorder="1"/>
    <xf numFmtId="43" fontId="0" fillId="7" borderId="19" xfId="1" applyFont="1" applyFill="1" applyBorder="1"/>
    <xf numFmtId="44" fontId="1" fillId="7" borderId="39" xfId="2" applyFont="1" applyFill="1" applyBorder="1"/>
    <xf numFmtId="2" fontId="0" fillId="7" borderId="21" xfId="0" applyNumberFormat="1" applyFill="1" applyBorder="1"/>
    <xf numFmtId="0" fontId="0" fillId="7" borderId="18" xfId="1" applyNumberFormat="1" applyFont="1" applyFill="1" applyBorder="1"/>
    <xf numFmtId="0" fontId="0" fillId="7" borderId="19" xfId="1" applyNumberFormat="1" applyFont="1" applyFill="1" applyBorder="1"/>
    <xf numFmtId="44" fontId="1" fillId="7" borderId="20" xfId="2" applyFont="1" applyFill="1" applyBorder="1" applyAlignment="1"/>
    <xf numFmtId="164" fontId="0" fillId="7" borderId="39" xfId="2" applyNumberFormat="1" applyFont="1" applyFill="1" applyBorder="1"/>
    <xf numFmtId="165" fontId="0" fillId="0" borderId="0" xfId="3" applyNumberFormat="1" applyFont="1"/>
    <xf numFmtId="9" fontId="0" fillId="0" borderId="16" xfId="3" applyFont="1" applyFill="1" applyBorder="1" applyAlignment="1">
      <alignment horizontal="center" wrapText="1"/>
    </xf>
    <xf numFmtId="9" fontId="0" fillId="0" borderId="10" xfId="3" applyFont="1" applyFill="1" applyBorder="1" applyAlignment="1">
      <alignment horizontal="center" wrapText="1"/>
    </xf>
    <xf numFmtId="9" fontId="0" fillId="0" borderId="4" xfId="3" applyFont="1" applyFill="1" applyBorder="1" applyAlignment="1">
      <alignment horizontal="center" wrapText="1"/>
    </xf>
    <xf numFmtId="9" fontId="0" fillId="0" borderId="22" xfId="3" applyFont="1" applyFill="1" applyBorder="1" applyAlignment="1">
      <alignment horizontal="center" wrapText="1"/>
    </xf>
    <xf numFmtId="44" fontId="0" fillId="0" borderId="0" xfId="0" applyNumberFormat="1" applyAlignment="1">
      <alignment wrapText="1"/>
    </xf>
    <xf numFmtId="44" fontId="0" fillId="0" borderId="0" xfId="2" applyFont="1" applyFill="1" applyAlignment="1">
      <alignment wrapText="1"/>
    </xf>
    <xf numFmtId="44" fontId="3" fillId="0" borderId="0" xfId="2" applyFont="1" applyFill="1" applyAlignment="1">
      <alignment wrapText="1"/>
    </xf>
    <xf numFmtId="0" fontId="0" fillId="0" borderId="43" xfId="0" applyBorder="1" applyAlignment="1">
      <alignment horizontal="left" wrapText="1"/>
    </xf>
    <xf numFmtId="0" fontId="3" fillId="0" borderId="0" xfId="0" applyFont="1" applyAlignment="1">
      <alignment horizontal="left" wrapText="1"/>
    </xf>
    <xf numFmtId="44" fontId="3" fillId="0" borderId="0" xfId="0" applyNumberFormat="1" applyFont="1" applyAlignment="1">
      <alignment horizontal="left" wrapText="1"/>
    </xf>
    <xf numFmtId="10" fontId="3" fillId="0" borderId="0" xfId="3" applyNumberFormat="1" applyFont="1" applyAlignment="1">
      <alignment horizontal="left" wrapText="1"/>
    </xf>
    <xf numFmtId="10" fontId="0" fillId="0" borderId="0" xfId="0" applyNumberFormat="1" applyAlignment="1">
      <alignment horizontal="left" wrapText="1"/>
    </xf>
    <xf numFmtId="0" fontId="0" fillId="6" borderId="54" xfId="0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2" fontId="6" fillId="0" borderId="34" xfId="0" applyNumberFormat="1" applyFont="1" applyBorder="1" applyAlignment="1">
      <alignment horizontal="right"/>
    </xf>
    <xf numFmtId="0" fontId="2" fillId="3" borderId="44" xfId="0" applyFont="1" applyFill="1" applyBorder="1" applyAlignment="1">
      <alignment horizontal="center" wrapText="1"/>
    </xf>
    <xf numFmtId="0" fontId="2" fillId="3" borderId="43" xfId="0" applyFont="1" applyFill="1" applyBorder="1" applyAlignment="1">
      <alignment horizontal="center" wrapText="1"/>
    </xf>
    <xf numFmtId="0" fontId="2" fillId="3" borderId="42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0" fillId="0" borderId="14" xfId="0" applyNumberFormat="1" applyBorder="1"/>
    <xf numFmtId="2" fontId="0" fillId="0" borderId="26" xfId="0" applyNumberFormat="1" applyBorder="1"/>
    <xf numFmtId="2" fontId="0" fillId="0" borderId="19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3" fillId="0" borderId="29" xfId="0" applyNumberFormat="1" applyFont="1" applyBorder="1" applyAlignment="1">
      <alignment horizontal="right"/>
    </xf>
    <xf numFmtId="2" fontId="3" fillId="0" borderId="32" xfId="0" applyNumberFormat="1" applyFon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2" fontId="0" fillId="0" borderId="13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2" fontId="0" fillId="0" borderId="11" xfId="0" applyNumberForma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0" fillId="0" borderId="16" xfId="0" applyNumberFormat="1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0" fillId="0" borderId="22" xfId="0" applyNumberFormat="1" applyBorder="1" applyAlignment="1">
      <alignment horizontal="center" wrapText="1"/>
    </xf>
    <xf numFmtId="2" fontId="3" fillId="2" borderId="39" xfId="0" applyNumberFormat="1" applyFont="1" applyFill="1" applyBorder="1" applyAlignment="1">
      <alignment horizontal="center" wrapText="1"/>
    </xf>
    <xf numFmtId="2" fontId="3" fillId="2" borderId="38" xfId="0" applyNumberFormat="1" applyFont="1" applyFill="1" applyBorder="1" applyAlignment="1">
      <alignment horizontal="center" wrapText="1"/>
    </xf>
    <xf numFmtId="2" fontId="3" fillId="2" borderId="40" xfId="0" applyNumberFormat="1" applyFont="1" applyFill="1" applyBorder="1" applyAlignment="1">
      <alignment horizontal="center" wrapText="1"/>
    </xf>
    <xf numFmtId="2" fontId="0" fillId="0" borderId="13" xfId="0" applyNumberFormat="1" applyBorder="1" applyAlignment="1">
      <alignment horizontal="right" wrapText="1"/>
    </xf>
    <xf numFmtId="2" fontId="0" fillId="0" borderId="11" xfId="0" applyNumberFormat="1" applyBorder="1" applyAlignment="1">
      <alignment horizontal="right" wrapText="1"/>
    </xf>
    <xf numFmtId="43" fontId="0" fillId="0" borderId="11" xfId="1" applyFont="1" applyFill="1" applyBorder="1" applyAlignment="1">
      <alignment horizontal="left"/>
    </xf>
    <xf numFmtId="43" fontId="0" fillId="0" borderId="10" xfId="1" applyFont="1" applyFill="1" applyBorder="1" applyAlignment="1">
      <alignment horizontal="left"/>
    </xf>
    <xf numFmtId="2" fontId="0" fillId="0" borderId="12" xfId="0" applyNumberFormat="1" applyBorder="1" applyAlignment="1">
      <alignment horizontal="right" wrapText="1"/>
    </xf>
    <xf numFmtId="0" fontId="0" fillId="0" borderId="11" xfId="2" applyNumberFormat="1" applyFont="1" applyFill="1" applyBorder="1" applyAlignment="1">
      <alignment horizontal="left"/>
    </xf>
    <xf numFmtId="0" fontId="0" fillId="0" borderId="14" xfId="2" applyNumberFormat="1" applyFont="1" applyFill="1" applyBorder="1" applyAlignment="1">
      <alignment horizontal="left"/>
    </xf>
    <xf numFmtId="0" fontId="0" fillId="0" borderId="11" xfId="3" applyNumberFormat="1" applyFont="1" applyFill="1" applyBorder="1" applyAlignment="1">
      <alignment horizontal="left"/>
    </xf>
    <xf numFmtId="0" fontId="0" fillId="0" borderId="10" xfId="3" applyNumberFormat="1" applyFont="1" applyFill="1" applyBorder="1" applyAlignment="1">
      <alignment horizontal="left"/>
    </xf>
    <xf numFmtId="2" fontId="0" fillId="0" borderId="19" xfId="0" applyNumberFormat="1" applyBorder="1" applyAlignment="1">
      <alignment horizontal="center" wrapText="1"/>
    </xf>
    <xf numFmtId="2" fontId="0" fillId="0" borderId="13" xfId="0" applyNumberFormat="1" applyBorder="1" applyAlignment="1">
      <alignment horizontal="center" wrapText="1"/>
    </xf>
    <xf numFmtId="2" fontId="0" fillId="0" borderId="25" xfId="0" applyNumberFormat="1" applyBorder="1" applyAlignment="1">
      <alignment horizontal="center" wrapText="1"/>
    </xf>
    <xf numFmtId="2" fontId="0" fillId="0" borderId="1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6" fillId="0" borderId="0" xfId="0" applyNumberFormat="1" applyFont="1" applyAlignment="1">
      <alignment horizontal="center"/>
    </xf>
    <xf numFmtId="44" fontId="6" fillId="0" borderId="0" xfId="2" applyFont="1" applyBorder="1" applyAlignment="1">
      <alignment horizontal="center"/>
    </xf>
    <xf numFmtId="44" fontId="5" fillId="0" borderId="0" xfId="2" applyFont="1" applyBorder="1" applyAlignment="1">
      <alignment horizontal="center"/>
    </xf>
    <xf numFmtId="2" fontId="0" fillId="0" borderId="17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2" fontId="0" fillId="0" borderId="23" xfId="0" applyNumberFormat="1" applyBorder="1" applyAlignment="1">
      <alignment horizontal="center" wrapText="1"/>
    </xf>
    <xf numFmtId="2" fontId="3" fillId="0" borderId="2" xfId="0" applyNumberFormat="1" applyFont="1" applyBorder="1" applyAlignment="1">
      <alignment horizontal="right"/>
    </xf>
    <xf numFmtId="2" fontId="3" fillId="0" borderId="36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center" vertical="center" wrapText="1"/>
    </xf>
    <xf numFmtId="2" fontId="0" fillId="0" borderId="15" xfId="0" applyNumberFormat="1" applyBorder="1"/>
    <xf numFmtId="2" fontId="0" fillId="0" borderId="27" xfId="0" applyNumberFormat="1" applyBorder="1"/>
    <xf numFmtId="2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43" fontId="0" fillId="0" borderId="11" xfId="2" applyNumberFormat="1" applyFont="1" applyFill="1" applyBorder="1" applyAlignment="1">
      <alignment horizontal="left"/>
    </xf>
    <xf numFmtId="0" fontId="0" fillId="0" borderId="10" xfId="2" applyNumberFormat="1" applyFont="1" applyFill="1" applyBorder="1" applyAlignment="1">
      <alignment horizontal="left"/>
    </xf>
    <xf numFmtId="2" fontId="0" fillId="0" borderId="20" xfId="0" applyNumberForma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2" fontId="0" fillId="0" borderId="26" xfId="0" applyNumberFormat="1" applyBorder="1" applyAlignment="1">
      <alignment horizontal="center" wrapText="1"/>
    </xf>
    <xf numFmtId="44" fontId="6" fillId="0" borderId="34" xfId="2" applyFont="1" applyBorder="1" applyAlignment="1">
      <alignment horizontal="center"/>
    </xf>
    <xf numFmtId="44" fontId="5" fillId="0" borderId="34" xfId="2" applyFont="1" applyBorder="1" applyAlignment="1">
      <alignment horizontal="center"/>
    </xf>
    <xf numFmtId="44" fontId="0" fillId="8" borderId="23" xfId="2" applyFont="1" applyFill="1" applyBorder="1" applyAlignment="1">
      <alignment wrapText="1"/>
    </xf>
    <xf numFmtId="44" fontId="0" fillId="8" borderId="23" xfId="0" applyNumberFormat="1" applyFill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y Afuso" id="{CA824708-91EC-48B1-A10C-7EE1109DDD13}" userId="89fdaee5eb27844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5" dT="2022-03-31T22:13:44.17" personId="{CA824708-91EC-48B1-A10C-7EE1109DDD13}" id="{3A03B2E2-7023-4A52-A1E9-159529461433}">
    <text>Allocation rolled into county total. City Manager shared that city is not ready to recieve funds.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8372-4837-41BA-997C-54E686EBE3BE}">
  <sheetPr>
    <tabColor theme="9" tint="0.79998168889431442"/>
    <pageSetUpPr fitToPage="1"/>
  </sheetPr>
  <dimension ref="A1:K50"/>
  <sheetViews>
    <sheetView tabSelected="1" topLeftCell="A5" zoomScaleNormal="100" workbookViewId="0">
      <selection activeCell="G18" sqref="G18"/>
    </sheetView>
  </sheetViews>
  <sheetFormatPr defaultColWidth="8.7265625" defaultRowHeight="14.5" x14ac:dyDescent="0.35"/>
  <cols>
    <col min="1" max="1" width="14.7265625" style="61" customWidth="1"/>
    <col min="2" max="2" width="16.81640625" style="61" customWidth="1"/>
    <col min="3" max="3" width="18.7265625" style="61" bestFit="1" customWidth="1"/>
    <col min="4" max="4" width="14.7265625" style="61" customWidth="1"/>
    <col min="5" max="6" width="14.26953125" style="61" bestFit="1" customWidth="1"/>
    <col min="7" max="7" width="13.26953125" style="61" bestFit="1" customWidth="1"/>
    <col min="8" max="8" width="8.7265625" style="61"/>
    <col min="9" max="9" width="13.26953125" style="61" bestFit="1" customWidth="1"/>
    <col min="10" max="10" width="14.26953125" style="61" bestFit="1" customWidth="1"/>
    <col min="11" max="16384" width="8.7265625" style="61"/>
  </cols>
  <sheetData>
    <row r="1" spans="1:10" ht="17" x14ac:dyDescent="0.4">
      <c r="A1" s="113" t="s">
        <v>0</v>
      </c>
      <c r="B1" s="114" t="s">
        <v>26</v>
      </c>
      <c r="C1" s="46"/>
      <c r="E1" s="78"/>
    </row>
    <row r="2" spans="1:10" ht="17.5" thickBot="1" x14ac:dyDescent="0.45">
      <c r="A2" s="278" t="s">
        <v>1</v>
      </c>
      <c r="B2" s="278"/>
      <c r="C2" s="156">
        <v>179547000</v>
      </c>
      <c r="D2" s="78">
        <f>C2/2</f>
        <v>89773500</v>
      </c>
      <c r="F2" s="268"/>
    </row>
    <row r="3" spans="1:10" x14ac:dyDescent="0.35">
      <c r="A3" s="279" t="s">
        <v>2</v>
      </c>
      <c r="B3" s="280"/>
      <c r="C3" s="280"/>
      <c r="D3" s="280"/>
      <c r="E3" s="281"/>
    </row>
    <row r="4" spans="1:10" s="77" customFormat="1" ht="29.5" thickBot="1" x14ac:dyDescent="0.4">
      <c r="A4" s="70" t="s">
        <v>3</v>
      </c>
      <c r="B4" s="69" t="s">
        <v>4</v>
      </c>
      <c r="C4" s="69" t="s">
        <v>5</v>
      </c>
      <c r="D4" s="69" t="s">
        <v>6</v>
      </c>
      <c r="E4" s="68" t="s">
        <v>7</v>
      </c>
      <c r="I4" s="203"/>
      <c r="J4" s="200"/>
    </row>
    <row r="5" spans="1:10" x14ac:dyDescent="0.35">
      <c r="A5" s="26" t="s">
        <v>35</v>
      </c>
      <c r="B5" s="93">
        <v>10291500</v>
      </c>
      <c r="C5" s="74">
        <f t="shared" ref="C5:C22" si="0">B5/$B$24</f>
        <v>6.8835320950578233E-2</v>
      </c>
      <c r="D5" s="65">
        <f>ROUND((4658965.51686304),-2)</f>
        <v>4659000</v>
      </c>
      <c r="E5" s="264">
        <f t="shared" ref="E5:E22" si="1">D5/B5</f>
        <v>0.45270368750910944</v>
      </c>
      <c r="F5" s="269"/>
      <c r="G5" s="268"/>
      <c r="I5" s="204"/>
      <c r="J5" s="201"/>
    </row>
    <row r="6" spans="1:10" ht="15" thickBot="1" x14ac:dyDescent="0.4">
      <c r="A6" s="20" t="s">
        <v>27</v>
      </c>
      <c r="B6" s="94">
        <v>3447500</v>
      </c>
      <c r="C6" s="73">
        <f t="shared" si="0"/>
        <v>2.3058812512959086E-2</v>
      </c>
      <c r="D6" s="67">
        <f>ROUND((1422764.79057903),-2)</f>
        <v>1422800</v>
      </c>
      <c r="E6" s="265">
        <f t="shared" si="1"/>
        <v>0.41270485859318345</v>
      </c>
      <c r="F6" s="269"/>
      <c r="G6" s="268"/>
      <c r="I6" s="203"/>
      <c r="J6" s="201"/>
    </row>
    <row r="7" spans="1:10" x14ac:dyDescent="0.35">
      <c r="A7" s="158" t="s">
        <v>36</v>
      </c>
      <c r="B7" s="94">
        <v>31252100</v>
      </c>
      <c r="C7" s="73">
        <f t="shared" si="0"/>
        <v>0.2090315633172585</v>
      </c>
      <c r="D7" s="65">
        <v>13300900</v>
      </c>
      <c r="E7" s="265">
        <f t="shared" si="1"/>
        <v>0.42560019966658241</v>
      </c>
      <c r="F7" s="269"/>
      <c r="G7" s="268"/>
      <c r="I7" s="204"/>
      <c r="J7" s="201"/>
    </row>
    <row r="8" spans="1:10" ht="15" thickBot="1" x14ac:dyDescent="0.4">
      <c r="A8" s="13" t="s">
        <v>28</v>
      </c>
      <c r="B8" s="95">
        <v>3849700</v>
      </c>
      <c r="C8" s="72">
        <f t="shared" si="0"/>
        <v>2.5748951568133022E-2</v>
      </c>
      <c r="D8" s="63">
        <f>ROUND((1445168.72455035),-2)</f>
        <v>1445200</v>
      </c>
      <c r="E8" s="266">
        <f t="shared" si="1"/>
        <v>0.37540587578252849</v>
      </c>
      <c r="F8" s="269"/>
      <c r="G8" s="268"/>
      <c r="I8" s="204"/>
      <c r="J8" s="201"/>
    </row>
    <row r="9" spans="1:10" ht="15" thickBot="1" x14ac:dyDescent="0.4">
      <c r="A9" s="160" t="s">
        <v>32</v>
      </c>
      <c r="B9" s="161">
        <v>4488700</v>
      </c>
      <c r="C9" s="73">
        <f t="shared" si="0"/>
        <v>3.0022941762703249E-2</v>
      </c>
      <c r="D9" s="162">
        <f>ROUND((4488675),-2)</f>
        <v>4488700</v>
      </c>
      <c r="E9" s="264">
        <f t="shared" si="1"/>
        <v>1</v>
      </c>
      <c r="F9" s="269"/>
      <c r="G9" s="268"/>
      <c r="I9" s="203"/>
      <c r="J9" s="201"/>
    </row>
    <row r="10" spans="1:10" ht="15" thickBot="1" x14ac:dyDescent="0.4">
      <c r="A10" s="159" t="s">
        <v>29</v>
      </c>
      <c r="B10" s="96">
        <v>15092700</v>
      </c>
      <c r="C10" s="76">
        <f t="shared" si="0"/>
        <v>0.10094843788668241</v>
      </c>
      <c r="D10" s="78">
        <f>ROUND((6373638.7746797),-2)</f>
        <v>6373600</v>
      </c>
      <c r="E10" s="264">
        <f t="shared" si="1"/>
        <v>0.42229687199772076</v>
      </c>
      <c r="F10" s="269"/>
      <c r="G10" s="268"/>
      <c r="I10" s="203"/>
      <c r="J10" s="201"/>
    </row>
    <row r="11" spans="1:10" x14ac:dyDescent="0.35">
      <c r="A11" s="20" t="s">
        <v>30</v>
      </c>
      <c r="B11" s="94">
        <v>5385600</v>
      </c>
      <c r="C11" s="73">
        <f t="shared" si="0"/>
        <v>3.6021911724377798E-2</v>
      </c>
      <c r="D11" s="67">
        <f>ROUND((2121396.46478398),-2)</f>
        <v>2121400</v>
      </c>
      <c r="E11" s="264">
        <f t="shared" si="1"/>
        <v>0.39390225787284611</v>
      </c>
      <c r="F11" s="269"/>
      <c r="G11" s="268"/>
      <c r="I11" s="203"/>
      <c r="J11" s="201"/>
    </row>
    <row r="12" spans="1:10" x14ac:dyDescent="0.35">
      <c r="A12" s="20" t="s">
        <v>31</v>
      </c>
      <c r="B12" s="94">
        <v>6778900</v>
      </c>
      <c r="C12" s="73">
        <f t="shared" si="0"/>
        <v>4.5341083145496258E-2</v>
      </c>
      <c r="D12" s="94">
        <f>ROUND((6778851.57),-2)</f>
        <v>6778900</v>
      </c>
      <c r="E12" s="265">
        <f t="shared" si="1"/>
        <v>1</v>
      </c>
      <c r="F12" s="269"/>
      <c r="G12" s="268"/>
      <c r="I12" s="203"/>
      <c r="J12" s="201"/>
    </row>
    <row r="13" spans="1:10" x14ac:dyDescent="0.35">
      <c r="A13" s="158" t="s">
        <v>33</v>
      </c>
      <c r="B13" s="94">
        <v>11622800</v>
      </c>
      <c r="C13" s="73">
        <f t="shared" si="0"/>
        <v>7.7739801617293935E-2</v>
      </c>
      <c r="D13" s="63">
        <f>ROUND((4439892.72507487),-2)</f>
        <v>4439900</v>
      </c>
      <c r="E13" s="265">
        <f t="shared" si="1"/>
        <v>0.38199917403723715</v>
      </c>
      <c r="F13" s="269"/>
      <c r="G13" s="268"/>
      <c r="I13" s="203"/>
      <c r="J13" s="201"/>
    </row>
    <row r="14" spans="1:10" x14ac:dyDescent="0.35">
      <c r="A14" s="20" t="s">
        <v>34</v>
      </c>
      <c r="B14" s="94">
        <v>2813300</v>
      </c>
      <c r="C14" s="73">
        <f t="shared" si="0"/>
        <v>1.8816927409052296E-2</v>
      </c>
      <c r="D14" s="94">
        <f>ROUND((1316889.03936585),-2)</f>
        <v>1316900</v>
      </c>
      <c r="E14" s="265">
        <f t="shared" si="1"/>
        <v>0.46809796324601005</v>
      </c>
      <c r="F14" s="269"/>
      <c r="G14" s="268"/>
      <c r="I14" s="204"/>
      <c r="J14" s="201"/>
    </row>
    <row r="15" spans="1:10" ht="15" thickBot="1" x14ac:dyDescent="0.4">
      <c r="A15" s="158" t="s">
        <v>44</v>
      </c>
      <c r="B15" s="345">
        <v>25931300</v>
      </c>
      <c r="C15" s="75">
        <f t="shared" si="0"/>
        <v>0.17344307031683712</v>
      </c>
      <c r="D15" s="346">
        <f>ROUND((10683684.3828949),-2)</f>
        <v>10683700</v>
      </c>
      <c r="E15" s="267">
        <f t="shared" si="1"/>
        <v>0.41200016967911368</v>
      </c>
      <c r="F15" s="269"/>
      <c r="G15" s="268"/>
      <c r="I15" s="203"/>
      <c r="J15" s="201"/>
    </row>
    <row r="16" spans="1:10" ht="15" thickBot="1" x14ac:dyDescent="0.4">
      <c r="A16" s="163" t="s">
        <v>37</v>
      </c>
      <c r="B16" s="93">
        <v>5086700</v>
      </c>
      <c r="C16" s="74">
        <f t="shared" si="0"/>
        <v>3.4022700974523271E-2</v>
      </c>
      <c r="D16" s="63">
        <v>3662400</v>
      </c>
      <c r="E16" s="264">
        <f t="shared" si="1"/>
        <v>0.71999528181335637</v>
      </c>
      <c r="F16" s="269"/>
      <c r="G16" s="268"/>
      <c r="I16" s="203"/>
      <c r="J16" s="201"/>
    </row>
    <row r="17" spans="1:11" x14ac:dyDescent="0.35">
      <c r="A17" s="20" t="s">
        <v>38</v>
      </c>
      <c r="B17" s="94">
        <v>3946700</v>
      </c>
      <c r="C17" s="73">
        <f t="shared" si="0"/>
        <v>2.6397741941956671E-2</v>
      </c>
      <c r="D17" s="53">
        <f>ROUND((1343838.32983369),-2)</f>
        <v>1343800</v>
      </c>
      <c r="E17" s="265">
        <f t="shared" si="1"/>
        <v>0.3404869891301594</v>
      </c>
      <c r="F17" s="269"/>
      <c r="G17" s="268"/>
      <c r="I17" s="203"/>
      <c r="J17" s="201"/>
    </row>
    <row r="18" spans="1:11" ht="15" thickBot="1" x14ac:dyDescent="0.4">
      <c r="A18" s="20" t="s">
        <v>39</v>
      </c>
      <c r="B18" s="94">
        <v>5355500</v>
      </c>
      <c r="C18" s="73">
        <f t="shared" si="0"/>
        <v>3.5820586051675818E-2</v>
      </c>
      <c r="D18" s="63">
        <f>ROUND((2370360.85904806),-2)</f>
        <v>2370400</v>
      </c>
      <c r="E18" s="265">
        <f t="shared" si="1"/>
        <v>0.44261040052282702</v>
      </c>
      <c r="F18" s="269"/>
      <c r="G18" s="268"/>
      <c r="I18" s="203"/>
      <c r="J18" s="201"/>
    </row>
    <row r="19" spans="1:11" x14ac:dyDescent="0.35">
      <c r="A19" s="20" t="s">
        <v>40</v>
      </c>
      <c r="B19" s="94">
        <v>3330600</v>
      </c>
      <c r="C19" s="74">
        <f t="shared" si="0"/>
        <v>2.2276919784093265E-2</v>
      </c>
      <c r="D19" s="63">
        <f>ROUND((3330646.86),-2)</f>
        <v>3330600</v>
      </c>
      <c r="E19" s="265">
        <f t="shared" si="1"/>
        <v>1</v>
      </c>
      <c r="F19" s="269"/>
      <c r="G19" s="268"/>
      <c r="I19" s="203"/>
      <c r="J19" s="201"/>
    </row>
    <row r="20" spans="1:11" x14ac:dyDescent="0.35">
      <c r="A20" s="157" t="s">
        <v>41</v>
      </c>
      <c r="B20" s="94">
        <v>2269600</v>
      </c>
      <c r="C20" s="73">
        <f t="shared" si="0"/>
        <v>1.518035703536242E-2</v>
      </c>
      <c r="D20" s="94">
        <v>0</v>
      </c>
      <c r="E20" s="265">
        <f t="shared" si="1"/>
        <v>0</v>
      </c>
      <c r="F20" s="269"/>
      <c r="G20" s="268"/>
      <c r="I20" s="203"/>
      <c r="J20" s="201"/>
    </row>
    <row r="21" spans="1:11" ht="15" thickBot="1" x14ac:dyDescent="0.4">
      <c r="A21" s="157" t="s">
        <v>42</v>
      </c>
      <c r="B21" s="94">
        <v>5304400</v>
      </c>
      <c r="C21" s="73">
        <f t="shared" si="0"/>
        <v>3.5478800607321295E-2</v>
      </c>
      <c r="D21" s="94">
        <f>ROUND((2267639.23250811),-2)</f>
        <v>2267600</v>
      </c>
      <c r="E21" s="265">
        <f t="shared" si="1"/>
        <v>0.4274941557951889</v>
      </c>
      <c r="F21" s="269"/>
      <c r="G21" s="268"/>
      <c r="I21" s="203"/>
      <c r="J21" s="201"/>
    </row>
    <row r="22" spans="1:11" x14ac:dyDescent="0.35">
      <c r="A22" s="18" t="s">
        <v>43</v>
      </c>
      <c r="B22" s="94">
        <v>3261400</v>
      </c>
      <c r="C22" s="74">
        <f t="shared" si="0"/>
        <v>2.1814071393695362E-2</v>
      </c>
      <c r="D22" s="94">
        <v>2348200</v>
      </c>
      <c r="E22" s="265">
        <f t="shared" si="1"/>
        <v>0.71999754706567731</v>
      </c>
      <c r="F22" s="269"/>
      <c r="G22" s="268"/>
      <c r="I22" s="203"/>
      <c r="J22" s="201"/>
    </row>
    <row r="23" spans="1:11" ht="15" thickBot="1" x14ac:dyDescent="0.4">
      <c r="C23" s="73"/>
      <c r="D23" s="63"/>
      <c r="E23" s="73"/>
      <c r="F23" s="269"/>
      <c r="G23" s="268"/>
      <c r="I23" s="203"/>
      <c r="J23" s="201"/>
    </row>
    <row r="24" spans="1:11" s="71" customFormat="1" ht="15" thickBot="1" x14ac:dyDescent="0.4">
      <c r="A24" s="82" t="s">
        <v>8</v>
      </c>
      <c r="B24" s="83">
        <f>SUM(B5:B22)</f>
        <v>149509000</v>
      </c>
      <c r="C24" s="84">
        <f>SUM(C5:C23)</f>
        <v>1</v>
      </c>
      <c r="D24" s="83">
        <f>SUM(D5:D23)</f>
        <v>72354000</v>
      </c>
      <c r="E24" s="85">
        <f>D24/B24</f>
        <v>0.48394411038800339</v>
      </c>
      <c r="F24" s="270"/>
      <c r="G24" s="268"/>
      <c r="I24" s="203"/>
      <c r="J24" s="202"/>
      <c r="K24" s="61"/>
    </row>
    <row r="25" spans="1:11" x14ac:dyDescent="0.35">
      <c r="A25" s="282" t="s">
        <v>9</v>
      </c>
      <c r="B25" s="283"/>
      <c r="C25" s="283"/>
      <c r="D25" s="283"/>
      <c r="E25" s="284"/>
      <c r="F25" s="269"/>
      <c r="G25" s="268"/>
      <c r="I25" s="203"/>
      <c r="J25" s="201"/>
    </row>
    <row r="26" spans="1:11" ht="29.5" thickBot="1" x14ac:dyDescent="0.4">
      <c r="A26" s="70" t="s">
        <v>3</v>
      </c>
      <c r="B26" s="69" t="s">
        <v>4</v>
      </c>
      <c r="C26" s="69" t="s">
        <v>5</v>
      </c>
      <c r="D26" s="69" t="s">
        <v>6</v>
      </c>
      <c r="E26" s="68" t="s">
        <v>7</v>
      </c>
      <c r="F26" s="269"/>
      <c r="G26" s="268"/>
      <c r="I26" s="203"/>
      <c r="J26" s="201"/>
    </row>
    <row r="27" spans="1:11" ht="15" thickBot="1" x14ac:dyDescent="0.4">
      <c r="A27" s="26" t="s">
        <v>45</v>
      </c>
      <c r="B27" s="93">
        <v>4701600</v>
      </c>
      <c r="C27" s="74">
        <f t="shared" ref="C27:C33" si="2">B27/$B$34</f>
        <v>0.15652173913043479</v>
      </c>
      <c r="D27" s="93">
        <f>ROUND((1968539.3358555),-2)</f>
        <v>1968500</v>
      </c>
      <c r="E27" s="64">
        <f>D27/B27</f>
        <v>0.41868725540241619</v>
      </c>
      <c r="F27" s="269"/>
      <c r="G27" s="268"/>
      <c r="I27" s="203"/>
      <c r="J27" s="201"/>
    </row>
    <row r="28" spans="1:11" ht="15" thickBot="1" x14ac:dyDescent="0.4">
      <c r="A28" s="20" t="s">
        <v>46</v>
      </c>
      <c r="B28" s="94">
        <v>2663500</v>
      </c>
      <c r="C28" s="73">
        <f t="shared" si="2"/>
        <v>8.8671016712164596E-2</v>
      </c>
      <c r="D28" s="63">
        <f>ROUND((1251838.90729891),-2)</f>
        <v>1251800</v>
      </c>
      <c r="E28" s="64">
        <f t="shared" ref="E28:E33" si="3">D28/B28</f>
        <v>0.46998310493711282</v>
      </c>
      <c r="F28" s="269"/>
      <c r="G28" s="268"/>
      <c r="I28" s="203"/>
      <c r="J28" s="201"/>
    </row>
    <row r="29" spans="1:11" ht="15" thickBot="1" x14ac:dyDescent="0.4">
      <c r="A29" s="164" t="s">
        <v>47</v>
      </c>
      <c r="B29" s="95">
        <v>7307700</v>
      </c>
      <c r="C29" s="72">
        <f t="shared" si="2"/>
        <v>0.2432818429988681</v>
      </c>
      <c r="D29" s="62">
        <f>ROUND((2975034.44650011),-2)</f>
        <v>2975000</v>
      </c>
      <c r="E29" s="64">
        <f t="shared" si="3"/>
        <v>0.40710483462648989</v>
      </c>
      <c r="F29" s="269"/>
      <c r="G29" s="268"/>
      <c r="I29" s="203"/>
      <c r="J29" s="201"/>
    </row>
    <row r="30" spans="1:11" ht="15" thickBot="1" x14ac:dyDescent="0.4">
      <c r="A30" s="163" t="s">
        <v>48</v>
      </c>
      <c r="B30" s="96">
        <v>4715300</v>
      </c>
      <c r="C30" s="76">
        <f t="shared" si="2"/>
        <v>0.1569778280844264</v>
      </c>
      <c r="D30" s="67">
        <f>ROUND((2053502.19431256),-2)</f>
        <v>2053500</v>
      </c>
      <c r="E30" s="64">
        <f t="shared" si="3"/>
        <v>0.43549721120607382</v>
      </c>
      <c r="F30" s="269"/>
      <c r="G30" s="268"/>
      <c r="I30" s="203"/>
      <c r="J30" s="201"/>
    </row>
    <row r="31" spans="1:11" ht="15" thickBot="1" x14ac:dyDescent="0.4">
      <c r="A31" s="20" t="s">
        <v>50</v>
      </c>
      <c r="B31" s="94">
        <v>1626500</v>
      </c>
      <c r="C31" s="73">
        <f t="shared" si="2"/>
        <v>5.4148079099806914E-2</v>
      </c>
      <c r="D31" s="63">
        <f>ROUND((1626458),-2)</f>
        <v>1626500</v>
      </c>
      <c r="E31" s="64">
        <f t="shared" si="3"/>
        <v>1</v>
      </c>
      <c r="F31" s="269"/>
      <c r="G31" s="268"/>
      <c r="I31" s="203"/>
      <c r="J31" s="201"/>
    </row>
    <row r="32" spans="1:11" ht="15" thickBot="1" x14ac:dyDescent="0.4">
      <c r="A32" s="158" t="s">
        <v>49</v>
      </c>
      <c r="B32" s="94">
        <v>5076900</v>
      </c>
      <c r="C32" s="73">
        <f t="shared" si="2"/>
        <v>0.16901591317664291</v>
      </c>
      <c r="D32" s="94">
        <v>3655400</v>
      </c>
      <c r="E32" s="64">
        <f t="shared" si="3"/>
        <v>0.7200063030589533</v>
      </c>
      <c r="F32" s="269"/>
      <c r="G32" s="268"/>
      <c r="I32" s="203"/>
      <c r="J32" s="201"/>
    </row>
    <row r="33" spans="1:10" ht="15" thickBot="1" x14ac:dyDescent="0.4">
      <c r="A33" s="20" t="s">
        <v>51</v>
      </c>
      <c r="B33" s="97">
        <v>3946500</v>
      </c>
      <c r="C33" s="75">
        <f t="shared" si="2"/>
        <v>0.1313835807976563</v>
      </c>
      <c r="D33" s="66">
        <f>ROUND((3946469.92),-2)</f>
        <v>3946500</v>
      </c>
      <c r="E33" s="64">
        <f t="shared" si="3"/>
        <v>1</v>
      </c>
      <c r="F33" s="269"/>
      <c r="G33" s="268"/>
      <c r="I33" s="203"/>
      <c r="J33" s="201"/>
    </row>
    <row r="34" spans="1:10" ht="15" thickBot="1" x14ac:dyDescent="0.4">
      <c r="A34" s="82" t="s">
        <v>8</v>
      </c>
      <c r="B34" s="98">
        <f>SUM(B27:B33)</f>
        <v>30038000</v>
      </c>
      <c r="C34" s="84">
        <f>SUM(C27:C33)</f>
        <v>1</v>
      </c>
      <c r="D34" s="83">
        <f>SUM(D27:D33)</f>
        <v>17477200</v>
      </c>
      <c r="E34" s="90">
        <f>D34/B34</f>
        <v>0.5818363406351954</v>
      </c>
      <c r="F34" s="269"/>
    </row>
    <row r="35" spans="1:10" s="88" customFormat="1" ht="29" x14ac:dyDescent="0.35">
      <c r="A35" s="272" t="s">
        <v>97</v>
      </c>
      <c r="B35" s="271"/>
      <c r="D35" s="273">
        <f>D24+D34</f>
        <v>89831200</v>
      </c>
      <c r="E35" s="274">
        <f>D35/(B24+B34)</f>
        <v>0.50032136432243368</v>
      </c>
    </row>
    <row r="36" spans="1:10" s="88" customFormat="1" ht="27.5" customHeight="1" x14ac:dyDescent="0.35">
      <c r="A36" s="276" t="s">
        <v>88</v>
      </c>
      <c r="B36" s="277"/>
      <c r="D36" s="273"/>
      <c r="E36" s="274"/>
      <c r="F36" s="275"/>
    </row>
    <row r="37" spans="1:10" x14ac:dyDescent="0.35">
      <c r="A37" s="207" t="s">
        <v>63</v>
      </c>
      <c r="D37" s="78"/>
      <c r="E37" s="61">
        <v>0</v>
      </c>
    </row>
    <row r="38" spans="1:10" x14ac:dyDescent="0.35">
      <c r="A38" s="207" t="s">
        <v>64</v>
      </c>
      <c r="D38" s="268"/>
    </row>
    <row r="39" spans="1:10" ht="29" x14ac:dyDescent="0.35">
      <c r="A39" s="207" t="s">
        <v>89</v>
      </c>
    </row>
    <row r="40" spans="1:10" x14ac:dyDescent="0.35">
      <c r="A40" s="207" t="s">
        <v>90</v>
      </c>
    </row>
    <row r="41" spans="1:10" x14ac:dyDescent="0.35">
      <c r="A41" s="207" t="s">
        <v>65</v>
      </c>
    </row>
    <row r="42" spans="1:10" x14ac:dyDescent="0.35">
      <c r="A42" s="207" t="s">
        <v>91</v>
      </c>
    </row>
    <row r="43" spans="1:10" x14ac:dyDescent="0.35">
      <c r="A43" s="207" t="s">
        <v>92</v>
      </c>
    </row>
    <row r="44" spans="1:10" x14ac:dyDescent="0.35">
      <c r="A44" s="207" t="s">
        <v>66</v>
      </c>
    </row>
    <row r="45" spans="1:10" x14ac:dyDescent="0.35">
      <c r="A45" s="207" t="s">
        <v>93</v>
      </c>
    </row>
    <row r="46" spans="1:10" x14ac:dyDescent="0.35">
      <c r="A46" s="207" t="s">
        <v>67</v>
      </c>
    </row>
    <row r="47" spans="1:10" x14ac:dyDescent="0.35">
      <c r="A47" s="207" t="s">
        <v>94</v>
      </c>
    </row>
    <row r="48" spans="1:10" x14ac:dyDescent="0.35">
      <c r="A48" s="207" t="s">
        <v>55</v>
      </c>
    </row>
    <row r="49" spans="1:2" ht="41.5" customHeight="1" x14ac:dyDescent="0.35">
      <c r="A49" s="276" t="s">
        <v>96</v>
      </c>
      <c r="B49" s="277"/>
    </row>
    <row r="50" spans="1:2" x14ac:dyDescent="0.35">
      <c r="A50" s="207" t="s">
        <v>95</v>
      </c>
    </row>
  </sheetData>
  <mergeCells count="5">
    <mergeCell ref="A49:B49"/>
    <mergeCell ref="A36:B36"/>
    <mergeCell ref="A2:B2"/>
    <mergeCell ref="A3:E3"/>
    <mergeCell ref="A25:E25"/>
  </mergeCells>
  <pageMargins left="0.7" right="0.7" top="0.75" bottom="0.75" header="0.3" footer="0.3"/>
  <pageSetup fitToHeight="2" orientation="portrait" horizontalDpi="4294967295" verticalDpi="4294967295" r:id="rId1"/>
  <headerFoot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D238-3D7D-45F6-A4ED-92DAB36FFF01}">
  <sheetPr>
    <tabColor theme="9" tint="0.79998168889431442"/>
    <pageSetUpPr fitToPage="1"/>
  </sheetPr>
  <dimension ref="A1:W41"/>
  <sheetViews>
    <sheetView topLeftCell="A6" zoomScaleNormal="100" workbookViewId="0">
      <pane xSplit="1" topLeftCell="B1" activePane="topRight" state="frozen"/>
      <selection sqref="A1:I35"/>
      <selection pane="topRight" activeCell="B6" sqref="B1:V1048576"/>
    </sheetView>
  </sheetViews>
  <sheetFormatPr defaultColWidth="8.7265625" defaultRowHeight="14.5" x14ac:dyDescent="0.35"/>
  <cols>
    <col min="1" max="1" width="22.1796875" style="1" customWidth="1"/>
    <col min="2" max="2" width="18.7265625" style="1" customWidth="1"/>
    <col min="3" max="3" width="16.26953125" style="1" customWidth="1"/>
    <col min="4" max="4" width="8.7265625" style="1" customWidth="1"/>
    <col min="5" max="5" width="11.81640625" style="1" customWidth="1"/>
    <col min="6" max="6" width="12.54296875" style="1" customWidth="1"/>
    <col min="7" max="7" width="13.81640625" style="1" customWidth="1"/>
    <col min="8" max="8" width="8.7265625" style="1" customWidth="1"/>
    <col min="9" max="9" width="10.54296875" style="1" customWidth="1"/>
    <col min="10" max="10" width="8.7265625" style="1" customWidth="1"/>
    <col min="11" max="11" width="12.26953125" style="1" customWidth="1"/>
    <col min="12" max="12" width="8.7265625" style="1" customWidth="1"/>
    <col min="13" max="13" width="10.7265625" style="1" customWidth="1"/>
    <col min="14" max="14" width="9.54296875" style="1" customWidth="1"/>
    <col min="15" max="15" width="17" style="1" customWidth="1"/>
    <col min="16" max="16" width="8.7265625" style="1" customWidth="1"/>
    <col min="17" max="17" width="11.7265625" style="1" customWidth="1"/>
    <col min="18" max="18" width="18.453125" style="1" customWidth="1"/>
    <col min="19" max="19" width="25.453125" style="1" customWidth="1"/>
    <col min="20" max="20" width="15.1796875" style="1" customWidth="1"/>
    <col min="21" max="22" width="16" style="1" customWidth="1"/>
    <col min="23" max="23" width="13.54296875" style="2" bestFit="1" customWidth="1"/>
    <col min="24" max="16384" width="8.7265625" style="1"/>
  </cols>
  <sheetData>
    <row r="1" spans="1:23" s="42" customFormat="1" ht="17" x14ac:dyDescent="0.4">
      <c r="A1" s="113" t="s">
        <v>0</v>
      </c>
      <c r="B1" s="89" t="s">
        <v>52</v>
      </c>
      <c r="C1" s="46"/>
      <c r="D1" s="322" t="s">
        <v>1</v>
      </c>
      <c r="E1" s="322"/>
      <c r="F1" s="324">
        <v>179547000</v>
      </c>
      <c r="G1" s="324"/>
      <c r="H1" s="99"/>
      <c r="I1" s="45"/>
      <c r="J1" s="45"/>
      <c r="K1" s="45"/>
      <c r="W1" s="43"/>
    </row>
    <row r="2" spans="1:23" s="42" customFormat="1" ht="17.5" thickBot="1" x14ac:dyDescent="0.45">
      <c r="A2" s="60" t="s">
        <v>10</v>
      </c>
      <c r="B2" s="99">
        <v>149509000</v>
      </c>
      <c r="C2" s="100"/>
      <c r="D2" s="323" t="s">
        <v>11</v>
      </c>
      <c r="E2" s="323"/>
      <c r="F2" s="324">
        <v>30038000</v>
      </c>
      <c r="G2" s="324"/>
      <c r="H2" s="99"/>
      <c r="I2" s="44"/>
      <c r="O2" s="43"/>
      <c r="W2" s="43"/>
    </row>
    <row r="3" spans="1:23" x14ac:dyDescent="0.35">
      <c r="A3" s="285" t="s">
        <v>12</v>
      </c>
      <c r="B3" s="288" t="s">
        <v>69</v>
      </c>
      <c r="C3" s="289"/>
      <c r="D3" s="289"/>
      <c r="E3" s="290"/>
      <c r="F3" s="319" t="s">
        <v>56</v>
      </c>
      <c r="G3" s="320"/>
      <c r="H3" s="320"/>
      <c r="I3" s="321"/>
      <c r="J3" s="288" t="s">
        <v>71</v>
      </c>
      <c r="K3" s="289"/>
      <c r="L3" s="289"/>
      <c r="M3" s="290"/>
      <c r="N3" s="319" t="s">
        <v>72</v>
      </c>
      <c r="O3" s="320"/>
      <c r="P3" s="320"/>
      <c r="Q3" s="321"/>
      <c r="R3" s="316" t="s">
        <v>13</v>
      </c>
      <c r="S3" s="325" t="s">
        <v>14</v>
      </c>
      <c r="T3" s="325" t="s">
        <v>15</v>
      </c>
      <c r="U3" s="301" t="s">
        <v>16</v>
      </c>
      <c r="V3" s="304" t="s">
        <v>17</v>
      </c>
    </row>
    <row r="4" spans="1:23" x14ac:dyDescent="0.35">
      <c r="A4" s="286"/>
      <c r="B4" s="307" t="s">
        <v>18</v>
      </c>
      <c r="C4" s="308"/>
      <c r="D4" s="309">
        <f>MAX(B7:B36)</f>
        <v>362151</v>
      </c>
      <c r="E4" s="310"/>
      <c r="F4" s="311" t="s">
        <v>18</v>
      </c>
      <c r="G4" s="308"/>
      <c r="H4" s="312">
        <f>MAX(F7:F36)</f>
        <v>5</v>
      </c>
      <c r="I4" s="313"/>
      <c r="J4" s="307" t="s">
        <v>18</v>
      </c>
      <c r="K4" s="308"/>
      <c r="L4" s="314">
        <f>MAX(J7:J36)</f>
        <v>0.96606099999999995</v>
      </c>
      <c r="M4" s="315"/>
      <c r="N4" s="311" t="s">
        <v>18</v>
      </c>
      <c r="O4" s="308"/>
      <c r="P4" s="295">
        <f>MAX(N7:N36)</f>
        <v>17</v>
      </c>
      <c r="Q4" s="296"/>
      <c r="R4" s="317"/>
      <c r="S4" s="326"/>
      <c r="T4" s="326"/>
      <c r="U4" s="302"/>
      <c r="V4" s="305"/>
    </row>
    <row r="5" spans="1:23" x14ac:dyDescent="0.35">
      <c r="A5" s="286"/>
      <c r="B5" s="297" t="s">
        <v>19</v>
      </c>
      <c r="C5" s="294"/>
      <c r="D5" s="295">
        <v>50</v>
      </c>
      <c r="E5" s="298"/>
      <c r="F5" s="293" t="s">
        <v>19</v>
      </c>
      <c r="G5" s="294"/>
      <c r="H5" s="295">
        <v>10</v>
      </c>
      <c r="I5" s="296"/>
      <c r="J5" s="297" t="s">
        <v>19</v>
      </c>
      <c r="K5" s="294"/>
      <c r="L5" s="295">
        <v>20</v>
      </c>
      <c r="M5" s="298"/>
      <c r="N5" s="293" t="s">
        <v>19</v>
      </c>
      <c r="O5" s="294"/>
      <c r="P5" s="299">
        <v>20</v>
      </c>
      <c r="Q5" s="300"/>
      <c r="R5" s="317"/>
      <c r="S5" s="326"/>
      <c r="T5" s="326"/>
      <c r="U5" s="302"/>
      <c r="V5" s="305"/>
    </row>
    <row r="6" spans="1:23" ht="58.5" thickBot="1" x14ac:dyDescent="0.4">
      <c r="A6" s="287"/>
      <c r="B6" s="39" t="s">
        <v>20</v>
      </c>
      <c r="C6" s="38" t="s">
        <v>21</v>
      </c>
      <c r="D6" s="38" t="s">
        <v>22</v>
      </c>
      <c r="E6" s="37" t="s">
        <v>23</v>
      </c>
      <c r="F6" s="41" t="s">
        <v>20</v>
      </c>
      <c r="G6" s="38" t="s">
        <v>21</v>
      </c>
      <c r="H6" s="38" t="s">
        <v>22</v>
      </c>
      <c r="I6" s="40" t="s">
        <v>23</v>
      </c>
      <c r="J6" s="39" t="s">
        <v>20</v>
      </c>
      <c r="K6" s="38" t="s">
        <v>21</v>
      </c>
      <c r="L6" s="38" t="s">
        <v>22</v>
      </c>
      <c r="M6" s="37" t="s">
        <v>23</v>
      </c>
      <c r="N6" s="41" t="s">
        <v>20</v>
      </c>
      <c r="O6" s="38" t="s">
        <v>21</v>
      </c>
      <c r="P6" s="38" t="s">
        <v>22</v>
      </c>
      <c r="Q6" s="40" t="s">
        <v>23</v>
      </c>
      <c r="R6" s="318"/>
      <c r="S6" s="327"/>
      <c r="T6" s="327"/>
      <c r="U6" s="303"/>
      <c r="V6" s="306"/>
    </row>
    <row r="7" spans="1:23" x14ac:dyDescent="0.35">
      <c r="A7" s="172" t="s">
        <v>68</v>
      </c>
      <c r="B7" s="141" t="s">
        <v>70</v>
      </c>
      <c r="C7" s="178">
        <f>$D$4</f>
        <v>362151</v>
      </c>
      <c r="D7" s="117">
        <f>$D$5</f>
        <v>50</v>
      </c>
      <c r="E7" s="23" t="e">
        <f t="shared" ref="E7:E36" si="0">D7*(B7/C7)</f>
        <v>#VALUE!</v>
      </c>
      <c r="F7" s="115" t="s">
        <v>70</v>
      </c>
      <c r="G7" s="116">
        <f>$H$4</f>
        <v>5</v>
      </c>
      <c r="H7" s="117">
        <f>$H$5</f>
        <v>10</v>
      </c>
      <c r="I7" s="24" t="e">
        <f t="shared" ref="I7:I36" si="1">H7*(F7/G7)</f>
        <v>#VALUE!</v>
      </c>
      <c r="J7" s="126" t="s">
        <v>70</v>
      </c>
      <c r="K7" s="127">
        <f>$L$4</f>
        <v>0.96606099999999995</v>
      </c>
      <c r="L7" s="128">
        <f>$L$5</f>
        <v>20</v>
      </c>
      <c r="M7" s="58" t="e">
        <f t="shared" ref="M7:M36" si="2">L7*(J7/K7)</f>
        <v>#VALUE!</v>
      </c>
      <c r="N7" s="135" t="s">
        <v>70</v>
      </c>
      <c r="O7" s="136">
        <f>$P$4</f>
        <v>17</v>
      </c>
      <c r="P7" s="117">
        <f>$P$5</f>
        <v>20</v>
      </c>
      <c r="Q7" s="24" t="e">
        <f>P7*(N7/O7)</f>
        <v>#VALUE!</v>
      </c>
      <c r="R7" s="25">
        <v>0</v>
      </c>
      <c r="S7" s="22">
        <f t="shared" ref="S7:S36" si="3">$R$37</f>
        <v>696.24955686245892</v>
      </c>
      <c r="T7" s="21">
        <f t="shared" ref="T7:T36" si="4">R7/S7</f>
        <v>0</v>
      </c>
      <c r="U7" s="103">
        <f>$B$2</f>
        <v>149509000</v>
      </c>
      <c r="V7" s="104">
        <v>4488700</v>
      </c>
      <c r="W7" s="263"/>
    </row>
    <row r="8" spans="1:23" x14ac:dyDescent="0.35">
      <c r="A8" s="173" t="s">
        <v>59</v>
      </c>
      <c r="B8" s="175">
        <v>362151</v>
      </c>
      <c r="C8" s="179">
        <f t="shared" ref="C8:C36" si="5">$D$4</f>
        <v>362151</v>
      </c>
      <c r="D8" s="120">
        <f t="shared" ref="D8:D36" si="6">$D$5</f>
        <v>50</v>
      </c>
      <c r="E8" s="16">
        <f t="shared" si="0"/>
        <v>50</v>
      </c>
      <c r="F8" s="118">
        <v>3</v>
      </c>
      <c r="G8" s="119">
        <f t="shared" ref="G8:G36" si="7">$H$4</f>
        <v>5</v>
      </c>
      <c r="H8" s="120">
        <f t="shared" ref="H8:H36" si="8">$H$5</f>
        <v>10</v>
      </c>
      <c r="I8" s="17">
        <f t="shared" si="1"/>
        <v>6</v>
      </c>
      <c r="J8" s="181">
        <v>0.26614237190592138</v>
      </c>
      <c r="K8" s="129">
        <f t="shared" ref="K8:K36" si="9">$L$4</f>
        <v>0.96606099999999995</v>
      </c>
      <c r="L8" s="130">
        <f t="shared" ref="L8:L36" si="10">$L$5</f>
        <v>20</v>
      </c>
      <c r="M8" s="57">
        <f t="shared" si="2"/>
        <v>5.5098461050786938</v>
      </c>
      <c r="N8" s="184">
        <v>17</v>
      </c>
      <c r="O8" s="137">
        <f t="shared" ref="O8:O36" si="11">$P$4</f>
        <v>17</v>
      </c>
      <c r="P8" s="120">
        <f t="shared" ref="P8:P36" si="12">$P$5</f>
        <v>20</v>
      </c>
      <c r="Q8" s="17">
        <f t="shared" ref="Q8:Q36" si="13">P8*(N8/O8)</f>
        <v>20</v>
      </c>
      <c r="R8" s="19">
        <f t="shared" ref="R8:R36" si="14">E8+I8+M8+Q8</f>
        <v>81.509846105078694</v>
      </c>
      <c r="S8" s="15">
        <f t="shared" si="3"/>
        <v>696.24955686245892</v>
      </c>
      <c r="T8" s="14">
        <f t="shared" si="4"/>
        <v>0.11706987142999448</v>
      </c>
      <c r="U8" s="101">
        <f>($B$2-$V$7)</f>
        <v>145020300</v>
      </c>
      <c r="V8" s="102">
        <f>ROUND(((T8*U8)+(V29+V30+V36)),-2)</f>
        <v>31252100</v>
      </c>
    </row>
    <row r="9" spans="1:23" x14ac:dyDescent="0.35">
      <c r="A9" s="80" t="s">
        <v>29</v>
      </c>
      <c r="B9" s="175">
        <v>326332</v>
      </c>
      <c r="C9" s="179">
        <f t="shared" si="5"/>
        <v>362151</v>
      </c>
      <c r="D9" s="120">
        <f t="shared" si="6"/>
        <v>50</v>
      </c>
      <c r="E9" s="16">
        <f t="shared" si="0"/>
        <v>45.054687133267613</v>
      </c>
      <c r="F9" s="118">
        <v>3</v>
      </c>
      <c r="G9" s="119">
        <f t="shared" si="7"/>
        <v>5</v>
      </c>
      <c r="H9" s="120">
        <f t="shared" si="8"/>
        <v>10</v>
      </c>
      <c r="I9" s="17">
        <f t="shared" si="1"/>
        <v>6</v>
      </c>
      <c r="J9" s="181">
        <v>0.124741</v>
      </c>
      <c r="K9" s="129">
        <f t="shared" si="9"/>
        <v>0.96606099999999995</v>
      </c>
      <c r="L9" s="130">
        <f t="shared" si="10"/>
        <v>20</v>
      </c>
      <c r="M9" s="57">
        <f t="shared" si="2"/>
        <v>2.5824663245902695</v>
      </c>
      <c r="N9" s="185">
        <v>16</v>
      </c>
      <c r="O9" s="137">
        <f t="shared" si="11"/>
        <v>17</v>
      </c>
      <c r="P9" s="120">
        <f t="shared" si="12"/>
        <v>20</v>
      </c>
      <c r="Q9" s="17">
        <f t="shared" si="13"/>
        <v>18.823529411764707</v>
      </c>
      <c r="R9" s="19">
        <f t="shared" si="14"/>
        <v>72.460682869622588</v>
      </c>
      <c r="S9" s="15">
        <f t="shared" si="3"/>
        <v>696.24955686245892</v>
      </c>
      <c r="T9" s="14">
        <f t="shared" si="4"/>
        <v>0.10407286030623196</v>
      </c>
      <c r="U9" s="101">
        <f t="shared" ref="U9:U36" si="15">($B$2-$V$7)</f>
        <v>145020300</v>
      </c>
      <c r="V9" s="102">
        <f>ROUND((T9*U9),-2)</f>
        <v>15092700</v>
      </c>
    </row>
    <row r="10" spans="1:23" ht="15" thickBot="1" x14ac:dyDescent="0.4">
      <c r="A10" s="174" t="s">
        <v>60</v>
      </c>
      <c r="B10" s="176">
        <v>66969</v>
      </c>
      <c r="C10" s="180">
        <f t="shared" si="5"/>
        <v>362151</v>
      </c>
      <c r="D10" s="123">
        <f t="shared" si="6"/>
        <v>50</v>
      </c>
      <c r="E10" s="10">
        <f t="shared" si="0"/>
        <v>9.2460051194115156</v>
      </c>
      <c r="F10" s="121">
        <v>3</v>
      </c>
      <c r="G10" s="122">
        <f t="shared" si="7"/>
        <v>5</v>
      </c>
      <c r="H10" s="123">
        <f t="shared" si="8"/>
        <v>10</v>
      </c>
      <c r="I10" s="11">
        <f t="shared" si="1"/>
        <v>6</v>
      </c>
      <c r="J10" s="182">
        <v>0.2188617426299618</v>
      </c>
      <c r="K10" s="131">
        <f t="shared" si="9"/>
        <v>0.96606099999999995</v>
      </c>
      <c r="L10" s="132">
        <f t="shared" si="10"/>
        <v>20</v>
      </c>
      <c r="M10" s="56">
        <f t="shared" si="2"/>
        <v>4.5310128993916905</v>
      </c>
      <c r="N10" s="184">
        <v>17</v>
      </c>
      <c r="O10" s="138">
        <f t="shared" si="11"/>
        <v>17</v>
      </c>
      <c r="P10" s="123">
        <f t="shared" si="12"/>
        <v>20</v>
      </c>
      <c r="Q10" s="11">
        <f t="shared" si="13"/>
        <v>20</v>
      </c>
      <c r="R10" s="12">
        <f t="shared" si="14"/>
        <v>39.777018018803204</v>
      </c>
      <c r="S10" s="9">
        <f t="shared" si="3"/>
        <v>696.24955686245892</v>
      </c>
      <c r="T10" s="8">
        <f t="shared" si="4"/>
        <v>5.7130403354297546E-2</v>
      </c>
      <c r="U10" s="101">
        <f t="shared" si="15"/>
        <v>145020300</v>
      </c>
      <c r="V10" s="105">
        <f>ROUND((((T10*U10)+(V25+V28+V31+V33+V34))),-2)</f>
        <v>25931300</v>
      </c>
    </row>
    <row r="11" spans="1:23" x14ac:dyDescent="0.35">
      <c r="A11" s="79" t="s">
        <v>62</v>
      </c>
      <c r="B11" s="177">
        <v>24220</v>
      </c>
      <c r="C11" s="178">
        <f t="shared" si="5"/>
        <v>362151</v>
      </c>
      <c r="D11" s="117">
        <f t="shared" si="6"/>
        <v>50</v>
      </c>
      <c r="E11" s="23">
        <f t="shared" si="0"/>
        <v>3.3439090324201781</v>
      </c>
      <c r="F11" s="115">
        <v>3</v>
      </c>
      <c r="G11" s="116">
        <f t="shared" si="7"/>
        <v>5</v>
      </c>
      <c r="H11" s="117">
        <f t="shared" si="8"/>
        <v>10</v>
      </c>
      <c r="I11" s="24">
        <f t="shared" si="1"/>
        <v>6</v>
      </c>
      <c r="J11" s="183">
        <v>0.56889437613512195</v>
      </c>
      <c r="K11" s="127">
        <f t="shared" si="9"/>
        <v>0.96606099999999995</v>
      </c>
      <c r="L11" s="128">
        <f t="shared" si="10"/>
        <v>20</v>
      </c>
      <c r="M11" s="58">
        <f t="shared" si="2"/>
        <v>11.777607752204508</v>
      </c>
      <c r="N11" s="186">
        <v>15</v>
      </c>
      <c r="O11" s="136">
        <f t="shared" si="11"/>
        <v>17</v>
      </c>
      <c r="P11" s="117">
        <f t="shared" si="12"/>
        <v>20</v>
      </c>
      <c r="Q11" s="24">
        <f t="shared" si="13"/>
        <v>17.647058823529413</v>
      </c>
      <c r="R11" s="25">
        <f t="shared" si="14"/>
        <v>38.768575608154102</v>
      </c>
      <c r="S11" s="22">
        <f t="shared" si="3"/>
        <v>696.24955686245892</v>
      </c>
      <c r="T11" s="21">
        <f t="shared" si="4"/>
        <v>5.5682011178375033E-2</v>
      </c>
      <c r="U11" s="101">
        <f t="shared" si="15"/>
        <v>145020300</v>
      </c>
      <c r="V11" s="102">
        <f>ROUND(((T11*U11)+V27),-2)</f>
        <v>10291500</v>
      </c>
    </row>
    <row r="12" spans="1:23" x14ac:dyDescent="0.35">
      <c r="A12" s="80" t="s">
        <v>41</v>
      </c>
      <c r="B12" s="177">
        <v>17807</v>
      </c>
      <c r="C12" s="179">
        <f t="shared" si="5"/>
        <v>362151</v>
      </c>
      <c r="D12" s="120">
        <f t="shared" si="6"/>
        <v>50</v>
      </c>
      <c r="E12" s="16">
        <f t="shared" si="0"/>
        <v>2.4585048777995921</v>
      </c>
      <c r="F12" s="118">
        <v>2</v>
      </c>
      <c r="G12" s="119">
        <f t="shared" si="7"/>
        <v>5</v>
      </c>
      <c r="H12" s="120">
        <f t="shared" si="8"/>
        <v>10</v>
      </c>
      <c r="I12" s="17">
        <f t="shared" si="1"/>
        <v>4</v>
      </c>
      <c r="J12" s="181">
        <v>0.100717</v>
      </c>
      <c r="K12" s="129">
        <f t="shared" si="9"/>
        <v>0.96606099999999995</v>
      </c>
      <c r="L12" s="130">
        <f t="shared" si="10"/>
        <v>20</v>
      </c>
      <c r="M12" s="57">
        <f t="shared" si="2"/>
        <v>2.0851064270268651</v>
      </c>
      <c r="N12" s="185">
        <v>2</v>
      </c>
      <c r="O12" s="137">
        <f t="shared" si="11"/>
        <v>17</v>
      </c>
      <c r="P12" s="120">
        <f t="shared" si="12"/>
        <v>20</v>
      </c>
      <c r="Q12" s="17">
        <f t="shared" si="13"/>
        <v>2.3529411764705883</v>
      </c>
      <c r="R12" s="19">
        <f t="shared" si="14"/>
        <v>10.896552481297046</v>
      </c>
      <c r="S12" s="15">
        <f t="shared" si="3"/>
        <v>696.24955686245892</v>
      </c>
      <c r="T12" s="14">
        <f t="shared" si="4"/>
        <v>1.5650354637783435E-2</v>
      </c>
      <c r="U12" s="101">
        <f t="shared" si="15"/>
        <v>145020300</v>
      </c>
      <c r="V12" s="102">
        <f>ROUND((T12*U12),-2)</f>
        <v>2269600</v>
      </c>
    </row>
    <row r="13" spans="1:23" ht="15" thickBot="1" x14ac:dyDescent="0.4">
      <c r="A13" s="80" t="s">
        <v>31</v>
      </c>
      <c r="B13" s="177">
        <v>11214</v>
      </c>
      <c r="C13" s="179">
        <f t="shared" si="5"/>
        <v>362151</v>
      </c>
      <c r="D13" s="120">
        <f t="shared" si="6"/>
        <v>50</v>
      </c>
      <c r="E13" s="16">
        <f t="shared" si="0"/>
        <v>1.5482492109644872</v>
      </c>
      <c r="F13" s="118">
        <v>4</v>
      </c>
      <c r="G13" s="119">
        <f t="shared" si="7"/>
        <v>5</v>
      </c>
      <c r="H13" s="120">
        <f t="shared" si="8"/>
        <v>10</v>
      </c>
      <c r="I13" s="17">
        <f t="shared" si="1"/>
        <v>8</v>
      </c>
      <c r="J13" s="181">
        <v>0.71305200000000002</v>
      </c>
      <c r="K13" s="129">
        <f t="shared" si="9"/>
        <v>0.96606099999999995</v>
      </c>
      <c r="L13" s="130">
        <f t="shared" si="10"/>
        <v>20</v>
      </c>
      <c r="M13" s="57">
        <f t="shared" si="2"/>
        <v>14.762049187370156</v>
      </c>
      <c r="N13" s="185">
        <v>7</v>
      </c>
      <c r="O13" s="137">
        <f t="shared" si="11"/>
        <v>17</v>
      </c>
      <c r="P13" s="120">
        <f t="shared" si="12"/>
        <v>20</v>
      </c>
      <c r="Q13" s="17">
        <f t="shared" si="13"/>
        <v>8.235294117647058</v>
      </c>
      <c r="R13" s="19">
        <f t="shared" si="14"/>
        <v>32.545592515981703</v>
      </c>
      <c r="S13" s="15">
        <f t="shared" si="3"/>
        <v>696.24955686245892</v>
      </c>
      <c r="T13" s="14">
        <f t="shared" si="4"/>
        <v>4.6744148265807722E-2</v>
      </c>
      <c r="U13" s="101">
        <f t="shared" si="15"/>
        <v>145020300</v>
      </c>
      <c r="V13" s="105">
        <f>ROUND((T13*U13),-2)</f>
        <v>6778900</v>
      </c>
    </row>
    <row r="14" spans="1:23" ht="15" thickBot="1" x14ac:dyDescent="0.4">
      <c r="A14" s="81" t="s">
        <v>27</v>
      </c>
      <c r="B14" s="177">
        <v>10815</v>
      </c>
      <c r="C14" s="180">
        <f t="shared" si="5"/>
        <v>362151</v>
      </c>
      <c r="D14" s="123">
        <f t="shared" si="6"/>
        <v>50</v>
      </c>
      <c r="E14" s="10">
        <f t="shared" si="0"/>
        <v>1.4931616922223052</v>
      </c>
      <c r="F14" s="121">
        <v>3</v>
      </c>
      <c r="G14" s="122">
        <f t="shared" si="7"/>
        <v>5</v>
      </c>
      <c r="H14" s="123">
        <f t="shared" si="8"/>
        <v>10</v>
      </c>
      <c r="I14" s="11">
        <f t="shared" si="1"/>
        <v>6</v>
      </c>
      <c r="J14" s="182">
        <v>0.210232</v>
      </c>
      <c r="K14" s="131">
        <f t="shared" si="9"/>
        <v>0.96606099999999995</v>
      </c>
      <c r="L14" s="132">
        <f t="shared" si="10"/>
        <v>20</v>
      </c>
      <c r="M14" s="56">
        <f t="shared" si="2"/>
        <v>4.3523545614614401</v>
      </c>
      <c r="N14" s="185">
        <v>4</v>
      </c>
      <c r="O14" s="138">
        <f t="shared" si="11"/>
        <v>17</v>
      </c>
      <c r="P14" s="123">
        <f t="shared" si="12"/>
        <v>20</v>
      </c>
      <c r="Q14" s="11">
        <f t="shared" si="13"/>
        <v>4.7058823529411766</v>
      </c>
      <c r="R14" s="12">
        <f t="shared" si="14"/>
        <v>16.551398606624922</v>
      </c>
      <c r="S14" s="9">
        <f t="shared" si="3"/>
        <v>696.24955686245892</v>
      </c>
      <c r="T14" s="8">
        <f t="shared" si="4"/>
        <v>2.377222138741638E-2</v>
      </c>
      <c r="U14" s="101">
        <f t="shared" si="15"/>
        <v>145020300</v>
      </c>
      <c r="V14" s="102">
        <f>ROUND((T14*U14),-2)</f>
        <v>3447500</v>
      </c>
    </row>
    <row r="15" spans="1:23" x14ac:dyDescent="0.35">
      <c r="A15" s="172" t="s">
        <v>39</v>
      </c>
      <c r="B15" s="177">
        <v>9768</v>
      </c>
      <c r="C15" s="178">
        <f t="shared" si="5"/>
        <v>362151</v>
      </c>
      <c r="D15" s="117">
        <f t="shared" si="6"/>
        <v>50</v>
      </c>
      <c r="E15" s="23">
        <f t="shared" si="0"/>
        <v>1.3486087295078573</v>
      </c>
      <c r="F15" s="115">
        <v>3</v>
      </c>
      <c r="G15" s="116">
        <f t="shared" si="7"/>
        <v>5</v>
      </c>
      <c r="H15" s="117">
        <f t="shared" si="8"/>
        <v>10</v>
      </c>
      <c r="I15" s="24">
        <f t="shared" si="1"/>
        <v>6</v>
      </c>
      <c r="J15" s="183">
        <v>0.83018999999999998</v>
      </c>
      <c r="K15" s="127">
        <f t="shared" si="9"/>
        <v>0.96606099999999995</v>
      </c>
      <c r="L15" s="128">
        <f t="shared" si="10"/>
        <v>20</v>
      </c>
      <c r="M15" s="58">
        <f t="shared" si="2"/>
        <v>17.187113443146966</v>
      </c>
      <c r="N15" s="185">
        <v>1</v>
      </c>
      <c r="O15" s="136">
        <f t="shared" si="11"/>
        <v>17</v>
      </c>
      <c r="P15" s="117">
        <f t="shared" si="12"/>
        <v>20</v>
      </c>
      <c r="Q15" s="24">
        <f t="shared" si="13"/>
        <v>1.1764705882352942</v>
      </c>
      <c r="R15" s="25">
        <f t="shared" si="14"/>
        <v>25.712192760890115</v>
      </c>
      <c r="S15" s="22">
        <f t="shared" si="3"/>
        <v>696.24955686245892</v>
      </c>
      <c r="T15" s="21">
        <f t="shared" si="4"/>
        <v>3.6929564273991272E-2</v>
      </c>
      <c r="U15" s="101">
        <f t="shared" si="15"/>
        <v>145020300</v>
      </c>
      <c r="V15" s="102">
        <f>ROUND((T15*U15),-2)</f>
        <v>5355500</v>
      </c>
    </row>
    <row r="16" spans="1:23" ht="15" thickBot="1" x14ac:dyDescent="0.4">
      <c r="A16" s="80" t="s">
        <v>37</v>
      </c>
      <c r="B16" s="177">
        <v>9269</v>
      </c>
      <c r="C16" s="179">
        <f t="shared" si="5"/>
        <v>362151</v>
      </c>
      <c r="D16" s="120">
        <f t="shared" si="6"/>
        <v>50</v>
      </c>
      <c r="E16" s="16">
        <f t="shared" si="0"/>
        <v>1.2797148150909428</v>
      </c>
      <c r="F16" s="118">
        <v>4</v>
      </c>
      <c r="G16" s="119">
        <f t="shared" si="7"/>
        <v>5</v>
      </c>
      <c r="H16" s="120">
        <f t="shared" si="8"/>
        <v>10</v>
      </c>
      <c r="I16" s="17">
        <f t="shared" si="1"/>
        <v>8</v>
      </c>
      <c r="J16" s="181">
        <v>0.33359699999999998</v>
      </c>
      <c r="K16" s="129">
        <f t="shared" si="9"/>
        <v>0.96606099999999995</v>
      </c>
      <c r="L16" s="130">
        <f t="shared" si="10"/>
        <v>20</v>
      </c>
      <c r="M16" s="57">
        <f t="shared" si="2"/>
        <v>6.9063340720720534</v>
      </c>
      <c r="N16" s="185">
        <v>7</v>
      </c>
      <c r="O16" s="137">
        <f t="shared" si="11"/>
        <v>17</v>
      </c>
      <c r="P16" s="120">
        <f t="shared" si="12"/>
        <v>20</v>
      </c>
      <c r="Q16" s="17">
        <f t="shared" si="13"/>
        <v>8.235294117647058</v>
      </c>
      <c r="R16" s="19">
        <f t="shared" si="14"/>
        <v>24.421343004810055</v>
      </c>
      <c r="S16" s="15">
        <f t="shared" si="3"/>
        <v>696.24955686245892</v>
      </c>
      <c r="T16" s="14">
        <f t="shared" si="4"/>
        <v>3.5075559853655153E-2</v>
      </c>
      <c r="U16" s="101">
        <f t="shared" si="15"/>
        <v>145020300</v>
      </c>
      <c r="V16" s="105">
        <f>ROUND((T16*U16),-2)</f>
        <v>5086700</v>
      </c>
    </row>
    <row r="17" spans="1:22" x14ac:dyDescent="0.35">
      <c r="A17" s="173" t="s">
        <v>33</v>
      </c>
      <c r="B17" s="177">
        <v>7015</v>
      </c>
      <c r="C17" s="179">
        <f t="shared" si="5"/>
        <v>362151</v>
      </c>
      <c r="D17" s="120">
        <f t="shared" si="6"/>
        <v>50</v>
      </c>
      <c r="E17" s="16">
        <f t="shared" si="0"/>
        <v>0.96851865658247538</v>
      </c>
      <c r="F17" s="118">
        <v>3</v>
      </c>
      <c r="G17" s="119">
        <f t="shared" si="7"/>
        <v>5</v>
      </c>
      <c r="H17" s="120">
        <f t="shared" si="8"/>
        <v>10</v>
      </c>
      <c r="I17" s="17">
        <f t="shared" si="1"/>
        <v>6</v>
      </c>
      <c r="J17" s="181">
        <v>0.15863412529823767</v>
      </c>
      <c r="K17" s="129">
        <f t="shared" si="9"/>
        <v>0.96606099999999995</v>
      </c>
      <c r="L17" s="130">
        <f t="shared" si="10"/>
        <v>20</v>
      </c>
      <c r="M17" s="57">
        <f t="shared" si="2"/>
        <v>3.284143036479843</v>
      </c>
      <c r="N17" s="184">
        <v>14</v>
      </c>
      <c r="O17" s="137">
        <f t="shared" si="11"/>
        <v>17</v>
      </c>
      <c r="P17" s="120">
        <f t="shared" si="12"/>
        <v>20</v>
      </c>
      <c r="Q17" s="17">
        <f t="shared" si="13"/>
        <v>16.470588235294116</v>
      </c>
      <c r="R17" s="19">
        <f t="shared" si="14"/>
        <v>26.723249928356434</v>
      </c>
      <c r="S17" s="15">
        <f t="shared" si="3"/>
        <v>696.24955686245892</v>
      </c>
      <c r="T17" s="14">
        <f t="shared" si="4"/>
        <v>3.8381711937858366E-2</v>
      </c>
      <c r="U17" s="101">
        <f t="shared" si="15"/>
        <v>145020300</v>
      </c>
      <c r="V17" s="102">
        <f>ROUND(((T17*U17)+(V26+V32+V35)),-2)</f>
        <v>11622800</v>
      </c>
    </row>
    <row r="18" spans="1:22" ht="15" thickBot="1" x14ac:dyDescent="0.4">
      <c r="A18" s="81" t="s">
        <v>42</v>
      </c>
      <c r="B18" s="177">
        <v>5389</v>
      </c>
      <c r="C18" s="180">
        <f t="shared" si="5"/>
        <v>362151</v>
      </c>
      <c r="D18" s="123">
        <f t="shared" si="6"/>
        <v>50</v>
      </c>
      <c r="E18" s="10">
        <f t="shared" si="0"/>
        <v>0.74402666291132702</v>
      </c>
      <c r="F18" s="121">
        <v>3</v>
      </c>
      <c r="G18" s="122">
        <f t="shared" si="7"/>
        <v>5</v>
      </c>
      <c r="H18" s="123">
        <f t="shared" si="8"/>
        <v>10</v>
      </c>
      <c r="I18" s="11">
        <f t="shared" si="1"/>
        <v>6</v>
      </c>
      <c r="J18" s="182">
        <v>0.56340299999999999</v>
      </c>
      <c r="K18" s="131">
        <f t="shared" si="9"/>
        <v>0.96606099999999995</v>
      </c>
      <c r="L18" s="132">
        <f t="shared" si="10"/>
        <v>20</v>
      </c>
      <c r="M18" s="56">
        <f t="shared" si="2"/>
        <v>11.663921843444669</v>
      </c>
      <c r="N18" s="185">
        <v>6</v>
      </c>
      <c r="O18" s="138">
        <f t="shared" si="11"/>
        <v>17</v>
      </c>
      <c r="P18" s="123">
        <f t="shared" si="12"/>
        <v>20</v>
      </c>
      <c r="Q18" s="11">
        <f t="shared" si="13"/>
        <v>7.0588235294117654</v>
      </c>
      <c r="R18" s="12">
        <f t="shared" si="14"/>
        <v>25.466772035767761</v>
      </c>
      <c r="S18" s="9">
        <f t="shared" si="3"/>
        <v>696.24955686245892</v>
      </c>
      <c r="T18" s="8">
        <f t="shared" si="4"/>
        <v>3.6577074677835109E-2</v>
      </c>
      <c r="U18" s="101">
        <f t="shared" si="15"/>
        <v>145020300</v>
      </c>
      <c r="V18" s="102">
        <f t="shared" ref="V18:V24" si="16">ROUND((T18*U18),-2)</f>
        <v>5304400</v>
      </c>
    </row>
    <row r="19" spans="1:22" ht="15" thickBot="1" x14ac:dyDescent="0.4">
      <c r="A19" s="172" t="s">
        <v>40</v>
      </c>
      <c r="B19" s="177">
        <v>4759</v>
      </c>
      <c r="C19" s="178">
        <f t="shared" si="5"/>
        <v>362151</v>
      </c>
      <c r="D19" s="117">
        <f t="shared" si="6"/>
        <v>50</v>
      </c>
      <c r="E19" s="23">
        <f t="shared" si="0"/>
        <v>0.65704637016051315</v>
      </c>
      <c r="F19" s="115">
        <v>4</v>
      </c>
      <c r="G19" s="116">
        <f t="shared" si="7"/>
        <v>5</v>
      </c>
      <c r="H19" s="117">
        <f t="shared" si="8"/>
        <v>10</v>
      </c>
      <c r="I19" s="24">
        <f t="shared" si="1"/>
        <v>8</v>
      </c>
      <c r="J19" s="183">
        <v>1.32701E-2</v>
      </c>
      <c r="K19" s="127">
        <f t="shared" si="9"/>
        <v>0.96606099999999995</v>
      </c>
      <c r="L19" s="128">
        <f t="shared" si="10"/>
        <v>20</v>
      </c>
      <c r="M19" s="58">
        <f t="shared" si="2"/>
        <v>0.2747259231042346</v>
      </c>
      <c r="N19" s="185">
        <v>6</v>
      </c>
      <c r="O19" s="136">
        <f t="shared" si="11"/>
        <v>17</v>
      </c>
      <c r="P19" s="117">
        <f t="shared" si="12"/>
        <v>20</v>
      </c>
      <c r="Q19" s="24">
        <f t="shared" si="13"/>
        <v>7.0588235294117654</v>
      </c>
      <c r="R19" s="25">
        <f t="shared" si="14"/>
        <v>15.990595822676514</v>
      </c>
      <c r="S19" s="22">
        <f t="shared" si="3"/>
        <v>696.24955686245892</v>
      </c>
      <c r="T19" s="21">
        <f t="shared" si="4"/>
        <v>2.2966759066584783E-2</v>
      </c>
      <c r="U19" s="101">
        <f t="shared" si="15"/>
        <v>145020300</v>
      </c>
      <c r="V19" s="105">
        <f t="shared" si="16"/>
        <v>3330600</v>
      </c>
    </row>
    <row r="20" spans="1:22" x14ac:dyDescent="0.35">
      <c r="A20" s="80" t="s">
        <v>30</v>
      </c>
      <c r="B20" s="177">
        <v>4203</v>
      </c>
      <c r="C20" s="179">
        <f t="shared" si="5"/>
        <v>362151</v>
      </c>
      <c r="D20" s="120">
        <f t="shared" si="6"/>
        <v>50</v>
      </c>
      <c r="E20" s="16">
        <f t="shared" si="0"/>
        <v>0.58028281020900119</v>
      </c>
      <c r="F20" s="118">
        <v>3</v>
      </c>
      <c r="G20" s="119">
        <f t="shared" si="7"/>
        <v>5</v>
      </c>
      <c r="H20" s="120">
        <f t="shared" si="8"/>
        <v>10</v>
      </c>
      <c r="I20" s="17">
        <f t="shared" si="1"/>
        <v>6</v>
      </c>
      <c r="J20" s="181">
        <v>0.760625</v>
      </c>
      <c r="K20" s="129">
        <f t="shared" si="9"/>
        <v>0.96606099999999995</v>
      </c>
      <c r="L20" s="130">
        <f t="shared" si="10"/>
        <v>20</v>
      </c>
      <c r="M20" s="57">
        <f t="shared" si="2"/>
        <v>15.746935234938581</v>
      </c>
      <c r="N20" s="185">
        <v>3</v>
      </c>
      <c r="O20" s="137">
        <f t="shared" si="11"/>
        <v>17</v>
      </c>
      <c r="P20" s="120">
        <f t="shared" si="12"/>
        <v>20</v>
      </c>
      <c r="Q20" s="17">
        <f t="shared" si="13"/>
        <v>3.5294117647058827</v>
      </c>
      <c r="R20" s="19">
        <f t="shared" si="14"/>
        <v>25.856629809853466</v>
      </c>
      <c r="S20" s="15">
        <f t="shared" si="3"/>
        <v>696.24955686245892</v>
      </c>
      <c r="T20" s="14">
        <f t="shared" si="4"/>
        <v>3.7137014386583414E-2</v>
      </c>
      <c r="U20" s="101">
        <f t="shared" si="15"/>
        <v>145020300</v>
      </c>
      <c r="V20" s="102">
        <f t="shared" si="16"/>
        <v>5385600</v>
      </c>
    </row>
    <row r="21" spans="1:22" x14ac:dyDescent="0.35">
      <c r="A21" s="80" t="s">
        <v>28</v>
      </c>
      <c r="B21" s="177">
        <v>3085</v>
      </c>
      <c r="C21" s="179">
        <f t="shared" si="5"/>
        <v>362151</v>
      </c>
      <c r="D21" s="120">
        <f t="shared" si="6"/>
        <v>50</v>
      </c>
      <c r="E21" s="16">
        <f t="shared" si="0"/>
        <v>0.42592730656549338</v>
      </c>
      <c r="F21" s="118">
        <v>3</v>
      </c>
      <c r="G21" s="119">
        <f t="shared" si="7"/>
        <v>5</v>
      </c>
      <c r="H21" s="120">
        <f t="shared" si="8"/>
        <v>10</v>
      </c>
      <c r="I21" s="17">
        <f t="shared" si="1"/>
        <v>6</v>
      </c>
      <c r="J21" s="181">
        <v>0.35505999999999999</v>
      </c>
      <c r="K21" s="129">
        <f t="shared" si="9"/>
        <v>0.96606099999999995</v>
      </c>
      <c r="L21" s="130">
        <f t="shared" si="10"/>
        <v>20</v>
      </c>
      <c r="M21" s="57">
        <f t="shared" si="2"/>
        <v>7.3506745433259386</v>
      </c>
      <c r="N21" s="185">
        <v>4</v>
      </c>
      <c r="O21" s="137">
        <f t="shared" si="11"/>
        <v>17</v>
      </c>
      <c r="P21" s="120">
        <f t="shared" si="12"/>
        <v>20</v>
      </c>
      <c r="Q21" s="17">
        <f t="shared" si="13"/>
        <v>4.7058823529411766</v>
      </c>
      <c r="R21" s="19">
        <f t="shared" si="14"/>
        <v>18.482484202832609</v>
      </c>
      <c r="S21" s="15">
        <f t="shared" si="3"/>
        <v>696.24955686245892</v>
      </c>
      <c r="T21" s="14">
        <f t="shared" si="4"/>
        <v>2.6545775175959994E-2</v>
      </c>
      <c r="U21" s="101">
        <f t="shared" si="15"/>
        <v>145020300</v>
      </c>
      <c r="V21" s="102">
        <f t="shared" si="16"/>
        <v>3849700</v>
      </c>
    </row>
    <row r="22" spans="1:22" ht="15" thickBot="1" x14ac:dyDescent="0.4">
      <c r="A22" s="81" t="s">
        <v>43</v>
      </c>
      <c r="B22" s="177">
        <v>2924</v>
      </c>
      <c r="C22" s="180">
        <f t="shared" si="5"/>
        <v>362151</v>
      </c>
      <c r="D22" s="123">
        <f t="shared" si="6"/>
        <v>50</v>
      </c>
      <c r="E22" s="10">
        <f t="shared" si="0"/>
        <v>0.40369900952917431</v>
      </c>
      <c r="F22" s="121">
        <v>3</v>
      </c>
      <c r="G22" s="122">
        <f t="shared" si="7"/>
        <v>5</v>
      </c>
      <c r="H22" s="123">
        <f t="shared" si="8"/>
        <v>10</v>
      </c>
      <c r="I22" s="11">
        <f t="shared" si="1"/>
        <v>6</v>
      </c>
      <c r="J22" s="182">
        <v>0.219718</v>
      </c>
      <c r="K22" s="131">
        <f t="shared" si="9"/>
        <v>0.96606099999999995</v>
      </c>
      <c r="L22" s="132">
        <f t="shared" si="10"/>
        <v>20</v>
      </c>
      <c r="M22" s="56">
        <f t="shared" si="2"/>
        <v>4.548739675858978</v>
      </c>
      <c r="N22" s="185">
        <v>4</v>
      </c>
      <c r="O22" s="138">
        <f t="shared" si="11"/>
        <v>17</v>
      </c>
      <c r="P22" s="123">
        <f t="shared" si="12"/>
        <v>20</v>
      </c>
      <c r="Q22" s="11">
        <f t="shared" si="13"/>
        <v>4.7058823529411766</v>
      </c>
      <c r="R22" s="12">
        <f t="shared" si="14"/>
        <v>15.65832103832933</v>
      </c>
      <c r="S22" s="9">
        <f t="shared" si="3"/>
        <v>696.24955686245892</v>
      </c>
      <c r="T22" s="8">
        <f t="shared" si="4"/>
        <v>2.2489523884066994E-2</v>
      </c>
      <c r="U22" s="101">
        <f t="shared" si="15"/>
        <v>145020300</v>
      </c>
      <c r="V22" s="105">
        <f t="shared" si="16"/>
        <v>3261400</v>
      </c>
    </row>
    <row r="23" spans="1:22" x14ac:dyDescent="0.35">
      <c r="A23" s="172" t="s">
        <v>61</v>
      </c>
      <c r="B23" s="177">
        <v>2748</v>
      </c>
      <c r="C23" s="178">
        <f t="shared" si="5"/>
        <v>362151</v>
      </c>
      <c r="D23" s="117">
        <f t="shared" si="6"/>
        <v>50</v>
      </c>
      <c r="E23" s="23">
        <f t="shared" si="0"/>
        <v>0.37939975314164531</v>
      </c>
      <c r="F23" s="115">
        <v>3</v>
      </c>
      <c r="G23" s="116">
        <f t="shared" si="7"/>
        <v>5</v>
      </c>
      <c r="H23" s="117">
        <f t="shared" si="8"/>
        <v>10</v>
      </c>
      <c r="I23" s="24">
        <f t="shared" si="1"/>
        <v>6</v>
      </c>
      <c r="J23" s="183">
        <v>0.173785</v>
      </c>
      <c r="K23" s="127">
        <f t="shared" si="9"/>
        <v>0.96606099999999995</v>
      </c>
      <c r="L23" s="128">
        <f t="shared" si="10"/>
        <v>20</v>
      </c>
      <c r="M23" s="58">
        <f t="shared" si="2"/>
        <v>3.5978059356500265</v>
      </c>
      <c r="N23" s="185">
        <v>3</v>
      </c>
      <c r="O23" s="136">
        <f t="shared" si="11"/>
        <v>17</v>
      </c>
      <c r="P23" s="117">
        <f t="shared" si="12"/>
        <v>20</v>
      </c>
      <c r="Q23" s="24">
        <f t="shared" si="13"/>
        <v>3.5294117647058827</v>
      </c>
      <c r="R23" s="25">
        <f t="shared" si="14"/>
        <v>13.506617453497554</v>
      </c>
      <c r="S23" s="22">
        <f t="shared" si="3"/>
        <v>696.24955686245892</v>
      </c>
      <c r="T23" s="21">
        <f t="shared" si="4"/>
        <v>1.9399103841965859E-2</v>
      </c>
      <c r="U23" s="101">
        <f t="shared" si="15"/>
        <v>145020300</v>
      </c>
      <c r="V23" s="102">
        <f t="shared" si="16"/>
        <v>2813300</v>
      </c>
    </row>
    <row r="24" spans="1:22" x14ac:dyDescent="0.35">
      <c r="A24" s="80" t="s">
        <v>38</v>
      </c>
      <c r="B24" s="177">
        <v>2218</v>
      </c>
      <c r="C24" s="179">
        <f t="shared" si="5"/>
        <v>362151</v>
      </c>
      <c r="D24" s="120">
        <f t="shared" si="6"/>
        <v>50</v>
      </c>
      <c r="E24" s="16">
        <f t="shared" si="0"/>
        <v>0.30622585606556385</v>
      </c>
      <c r="F24" s="118">
        <v>3</v>
      </c>
      <c r="G24" s="119">
        <f t="shared" si="7"/>
        <v>5</v>
      </c>
      <c r="H24" s="120">
        <f t="shared" si="8"/>
        <v>10</v>
      </c>
      <c r="I24" s="17">
        <f t="shared" si="1"/>
        <v>6</v>
      </c>
      <c r="J24" s="181">
        <v>0.269679</v>
      </c>
      <c r="K24" s="129">
        <f t="shared" si="9"/>
        <v>0.96606099999999995</v>
      </c>
      <c r="L24" s="130">
        <f t="shared" si="10"/>
        <v>20</v>
      </c>
      <c r="M24" s="57">
        <f t="shared" si="2"/>
        <v>5.5830635953630257</v>
      </c>
      <c r="N24" s="185">
        <v>6</v>
      </c>
      <c r="O24" s="137">
        <f t="shared" si="11"/>
        <v>17</v>
      </c>
      <c r="P24" s="120">
        <f t="shared" si="12"/>
        <v>20</v>
      </c>
      <c r="Q24" s="17">
        <f t="shared" si="13"/>
        <v>7.0588235294117654</v>
      </c>
      <c r="R24" s="19">
        <f t="shared" si="14"/>
        <v>18.948112980840353</v>
      </c>
      <c r="S24" s="15">
        <f t="shared" si="3"/>
        <v>696.24955686245892</v>
      </c>
      <c r="T24" s="14">
        <f t="shared" si="4"/>
        <v>2.7214542248654487E-2</v>
      </c>
      <c r="U24" s="101">
        <f t="shared" si="15"/>
        <v>145020300</v>
      </c>
      <c r="V24" s="102">
        <f t="shared" si="16"/>
        <v>3946700</v>
      </c>
    </row>
    <row r="25" spans="1:22" ht="15" thickBot="1" x14ac:dyDescent="0.4">
      <c r="A25" s="208" t="s">
        <v>86</v>
      </c>
      <c r="B25" s="209">
        <v>2205</v>
      </c>
      <c r="C25" s="210">
        <f t="shared" si="5"/>
        <v>362151</v>
      </c>
      <c r="D25" s="211">
        <f t="shared" si="6"/>
        <v>50</v>
      </c>
      <c r="E25" s="212">
        <f t="shared" si="0"/>
        <v>0.3044310246278486</v>
      </c>
      <c r="F25" s="213">
        <v>3</v>
      </c>
      <c r="G25" s="214">
        <f t="shared" si="7"/>
        <v>5</v>
      </c>
      <c r="H25" s="211">
        <f t="shared" si="8"/>
        <v>10</v>
      </c>
      <c r="I25" s="215">
        <f t="shared" si="1"/>
        <v>6</v>
      </c>
      <c r="J25" s="216">
        <v>0.162493</v>
      </c>
      <c r="K25" s="217">
        <f t="shared" si="9"/>
        <v>0.96606099999999995</v>
      </c>
      <c r="L25" s="211">
        <f t="shared" si="10"/>
        <v>20</v>
      </c>
      <c r="M25" s="212">
        <f t="shared" si="2"/>
        <v>3.3640318779041904</v>
      </c>
      <c r="N25" s="218">
        <v>3</v>
      </c>
      <c r="O25" s="219">
        <f t="shared" si="11"/>
        <v>17</v>
      </c>
      <c r="P25" s="211">
        <f t="shared" si="12"/>
        <v>20</v>
      </c>
      <c r="Q25" s="215">
        <f t="shared" si="13"/>
        <v>3.5294117647058827</v>
      </c>
      <c r="R25" s="220">
        <f t="shared" si="14"/>
        <v>13.197874667237921</v>
      </c>
      <c r="S25" s="221">
        <f t="shared" si="3"/>
        <v>696.24955686245892</v>
      </c>
      <c r="T25" s="222">
        <f t="shared" si="4"/>
        <v>1.8955666882880477E-2</v>
      </c>
      <c r="U25" s="223">
        <f t="shared" si="15"/>
        <v>145020300</v>
      </c>
      <c r="V25" s="224">
        <f t="shared" ref="V25:V35" si="17">T25*U25</f>
        <v>2748956.4980553915</v>
      </c>
    </row>
    <row r="26" spans="1:22" ht="15" thickBot="1" x14ac:dyDescent="0.4">
      <c r="A26" s="225" t="s">
        <v>75</v>
      </c>
      <c r="B26" s="226">
        <v>1441</v>
      </c>
      <c r="C26" s="227">
        <f t="shared" si="5"/>
        <v>362151</v>
      </c>
      <c r="D26" s="228">
        <f t="shared" si="6"/>
        <v>50</v>
      </c>
      <c r="E26" s="229">
        <f t="shared" si="0"/>
        <v>0.19895016167289334</v>
      </c>
      <c r="F26" s="230">
        <v>3</v>
      </c>
      <c r="G26" s="231">
        <f t="shared" si="7"/>
        <v>5</v>
      </c>
      <c r="H26" s="228">
        <f t="shared" si="8"/>
        <v>10</v>
      </c>
      <c r="I26" s="232">
        <f t="shared" si="1"/>
        <v>6</v>
      </c>
      <c r="J26" s="233">
        <v>1.4968199999999999E-2</v>
      </c>
      <c r="K26" s="234">
        <f t="shared" si="9"/>
        <v>0.96606099999999995</v>
      </c>
      <c r="L26" s="228">
        <f t="shared" si="10"/>
        <v>20</v>
      </c>
      <c r="M26" s="229">
        <f t="shared" si="2"/>
        <v>0.30988105305979641</v>
      </c>
      <c r="N26" s="235">
        <v>2</v>
      </c>
      <c r="O26" s="236">
        <f t="shared" si="11"/>
        <v>17</v>
      </c>
      <c r="P26" s="228">
        <f t="shared" si="12"/>
        <v>20</v>
      </c>
      <c r="Q26" s="232">
        <f t="shared" si="13"/>
        <v>2.3529411764705883</v>
      </c>
      <c r="R26" s="237">
        <f t="shared" si="14"/>
        <v>8.861772391203278</v>
      </c>
      <c r="S26" s="238">
        <f t="shared" si="3"/>
        <v>696.24955686245892</v>
      </c>
      <c r="T26" s="239">
        <f t="shared" si="4"/>
        <v>1.2727867908652591E-2</v>
      </c>
      <c r="U26" s="223">
        <f t="shared" si="15"/>
        <v>145020300</v>
      </c>
      <c r="V26" s="240">
        <f t="shared" si="17"/>
        <v>1845799.2224731713</v>
      </c>
    </row>
    <row r="27" spans="1:22" x14ac:dyDescent="0.35">
      <c r="A27" s="241" t="s">
        <v>76</v>
      </c>
      <c r="B27" s="226">
        <v>1202</v>
      </c>
      <c r="C27" s="242">
        <f t="shared" si="5"/>
        <v>362151</v>
      </c>
      <c r="D27" s="243">
        <f t="shared" si="6"/>
        <v>50</v>
      </c>
      <c r="E27" s="244">
        <f t="shared" si="0"/>
        <v>0.165952876010283</v>
      </c>
      <c r="F27" s="245">
        <v>3</v>
      </c>
      <c r="G27" s="246">
        <f t="shared" si="7"/>
        <v>5</v>
      </c>
      <c r="H27" s="243">
        <f t="shared" si="8"/>
        <v>10</v>
      </c>
      <c r="I27" s="247">
        <f t="shared" si="1"/>
        <v>6</v>
      </c>
      <c r="J27" s="248">
        <v>4.5698700000000002E-2</v>
      </c>
      <c r="K27" s="249">
        <f t="shared" si="9"/>
        <v>0.96606099999999995</v>
      </c>
      <c r="L27" s="243">
        <f t="shared" si="10"/>
        <v>20</v>
      </c>
      <c r="M27" s="244">
        <f t="shared" si="2"/>
        <v>0.94608311483436358</v>
      </c>
      <c r="N27" s="250">
        <v>3</v>
      </c>
      <c r="O27" s="251">
        <f t="shared" si="11"/>
        <v>17</v>
      </c>
      <c r="P27" s="243">
        <f t="shared" si="12"/>
        <v>20</v>
      </c>
      <c r="Q27" s="247">
        <f t="shared" si="13"/>
        <v>3.5294117647058827</v>
      </c>
      <c r="R27" s="252">
        <f t="shared" si="14"/>
        <v>10.641447755550528</v>
      </c>
      <c r="S27" s="253">
        <f t="shared" si="3"/>
        <v>696.24955686245892</v>
      </c>
      <c r="T27" s="254">
        <f t="shared" si="4"/>
        <v>1.5283956234750897E-2</v>
      </c>
      <c r="U27" s="223">
        <f t="shared" si="15"/>
        <v>145020300</v>
      </c>
      <c r="V27" s="240">
        <f t="shared" si="17"/>
        <v>2216483.9183504456</v>
      </c>
    </row>
    <row r="28" spans="1:22" ht="15" thickBot="1" x14ac:dyDescent="0.4">
      <c r="A28" s="208" t="s">
        <v>77</v>
      </c>
      <c r="B28" s="226">
        <v>762</v>
      </c>
      <c r="C28" s="210">
        <f t="shared" si="5"/>
        <v>362151</v>
      </c>
      <c r="D28" s="211">
        <f t="shared" si="6"/>
        <v>50</v>
      </c>
      <c r="E28" s="212">
        <f t="shared" si="0"/>
        <v>0.10520473504146062</v>
      </c>
      <c r="F28" s="213">
        <v>1</v>
      </c>
      <c r="G28" s="214">
        <f t="shared" si="7"/>
        <v>5</v>
      </c>
      <c r="H28" s="211">
        <f t="shared" si="8"/>
        <v>10</v>
      </c>
      <c r="I28" s="215">
        <f t="shared" si="1"/>
        <v>2</v>
      </c>
      <c r="J28" s="216">
        <v>0.36065000000000003</v>
      </c>
      <c r="K28" s="217">
        <f t="shared" si="9"/>
        <v>0.96606099999999995</v>
      </c>
      <c r="L28" s="211">
        <f t="shared" si="10"/>
        <v>20</v>
      </c>
      <c r="M28" s="212">
        <f t="shared" si="2"/>
        <v>7.4664022251182907</v>
      </c>
      <c r="N28" s="250">
        <v>2</v>
      </c>
      <c r="O28" s="219">
        <f t="shared" si="11"/>
        <v>17</v>
      </c>
      <c r="P28" s="211">
        <f t="shared" si="12"/>
        <v>20</v>
      </c>
      <c r="Q28" s="215">
        <f t="shared" si="13"/>
        <v>2.3529411764705883</v>
      </c>
      <c r="R28" s="220">
        <f t="shared" si="14"/>
        <v>11.924548136630341</v>
      </c>
      <c r="S28" s="221">
        <f t="shared" si="3"/>
        <v>696.24955686245892</v>
      </c>
      <c r="T28" s="222">
        <f t="shared" si="4"/>
        <v>1.7126830486422821E-2</v>
      </c>
      <c r="U28" s="223">
        <f t="shared" si="15"/>
        <v>145020300</v>
      </c>
      <c r="V28" s="224">
        <f t="shared" si="17"/>
        <v>2483738.0951901833</v>
      </c>
    </row>
    <row r="29" spans="1:22" x14ac:dyDescent="0.35">
      <c r="A29" s="208" t="s">
        <v>78</v>
      </c>
      <c r="B29" s="226">
        <v>712</v>
      </c>
      <c r="C29" s="210">
        <f t="shared" si="5"/>
        <v>362151</v>
      </c>
      <c r="D29" s="211">
        <f t="shared" si="6"/>
        <v>50</v>
      </c>
      <c r="E29" s="212">
        <f t="shared" si="0"/>
        <v>9.830153720409443E-2</v>
      </c>
      <c r="F29" s="213">
        <v>5</v>
      </c>
      <c r="G29" s="214">
        <f t="shared" si="7"/>
        <v>5</v>
      </c>
      <c r="H29" s="211">
        <f t="shared" si="8"/>
        <v>10</v>
      </c>
      <c r="I29" s="215">
        <f t="shared" si="1"/>
        <v>10</v>
      </c>
      <c r="J29" s="216">
        <v>0.96606099999999995</v>
      </c>
      <c r="K29" s="217">
        <f t="shared" si="9"/>
        <v>0.96606099999999995</v>
      </c>
      <c r="L29" s="211">
        <f t="shared" si="10"/>
        <v>20</v>
      </c>
      <c r="M29" s="212">
        <f t="shared" si="2"/>
        <v>20</v>
      </c>
      <c r="N29" s="250">
        <v>4</v>
      </c>
      <c r="O29" s="219">
        <f t="shared" si="11"/>
        <v>17</v>
      </c>
      <c r="P29" s="211">
        <f t="shared" si="12"/>
        <v>20</v>
      </c>
      <c r="Q29" s="215">
        <f t="shared" si="13"/>
        <v>4.7058823529411766</v>
      </c>
      <c r="R29" s="220">
        <f t="shared" si="14"/>
        <v>34.804183890145268</v>
      </c>
      <c r="S29" s="221">
        <f t="shared" si="3"/>
        <v>696.24955686245892</v>
      </c>
      <c r="T29" s="222">
        <f t="shared" si="4"/>
        <v>4.9988087672163048E-2</v>
      </c>
      <c r="U29" s="223">
        <f t="shared" si="15"/>
        <v>145020300</v>
      </c>
      <c r="V29" s="240">
        <f t="shared" si="17"/>
        <v>7249287.4706433872</v>
      </c>
    </row>
    <row r="30" spans="1:22" ht="15" thickBot="1" x14ac:dyDescent="0.4">
      <c r="A30" s="225" t="s">
        <v>79</v>
      </c>
      <c r="B30" s="226">
        <v>611</v>
      </c>
      <c r="C30" s="227">
        <f t="shared" si="5"/>
        <v>362151</v>
      </c>
      <c r="D30" s="228">
        <f t="shared" si="6"/>
        <v>50</v>
      </c>
      <c r="E30" s="229">
        <f t="shared" si="0"/>
        <v>8.4357077572614736E-2</v>
      </c>
      <c r="F30" s="230">
        <v>3</v>
      </c>
      <c r="G30" s="231">
        <f t="shared" si="7"/>
        <v>5</v>
      </c>
      <c r="H30" s="228">
        <f t="shared" si="8"/>
        <v>10</v>
      </c>
      <c r="I30" s="232">
        <f t="shared" si="1"/>
        <v>6</v>
      </c>
      <c r="J30" s="233">
        <v>0.80770399999999998</v>
      </c>
      <c r="K30" s="234">
        <f t="shared" si="9"/>
        <v>0.96606099999999995</v>
      </c>
      <c r="L30" s="228">
        <f t="shared" si="10"/>
        <v>20</v>
      </c>
      <c r="M30" s="229">
        <f t="shared" si="2"/>
        <v>16.721594185046285</v>
      </c>
      <c r="N30" s="250">
        <v>2</v>
      </c>
      <c r="O30" s="236">
        <f t="shared" si="11"/>
        <v>17</v>
      </c>
      <c r="P30" s="228">
        <f t="shared" si="12"/>
        <v>20</v>
      </c>
      <c r="Q30" s="232">
        <f t="shared" si="13"/>
        <v>2.3529411764705883</v>
      </c>
      <c r="R30" s="237">
        <f t="shared" si="14"/>
        <v>25.158892439089488</v>
      </c>
      <c r="S30" s="238">
        <f t="shared" si="3"/>
        <v>696.24955686245892</v>
      </c>
      <c r="T30" s="239">
        <f t="shared" si="4"/>
        <v>3.6134877489135006E-2</v>
      </c>
      <c r="U30" s="223">
        <f t="shared" si="15"/>
        <v>145020300</v>
      </c>
      <c r="V30" s="240">
        <f t="shared" si="17"/>
        <v>5240290.7739376053</v>
      </c>
    </row>
    <row r="31" spans="1:22" ht="15" thickBot="1" x14ac:dyDescent="0.4">
      <c r="A31" s="241" t="s">
        <v>80</v>
      </c>
      <c r="B31" s="255">
        <v>506</v>
      </c>
      <c r="C31" s="242">
        <f t="shared" si="5"/>
        <v>362151</v>
      </c>
      <c r="D31" s="243">
        <f t="shared" si="6"/>
        <v>50</v>
      </c>
      <c r="E31" s="244">
        <f t="shared" si="0"/>
        <v>6.9860362114145758E-2</v>
      </c>
      <c r="F31" s="245">
        <v>5</v>
      </c>
      <c r="G31" s="246">
        <f t="shared" si="7"/>
        <v>5</v>
      </c>
      <c r="H31" s="243">
        <f t="shared" si="8"/>
        <v>10</v>
      </c>
      <c r="I31" s="247">
        <f t="shared" si="1"/>
        <v>10</v>
      </c>
      <c r="J31" s="248">
        <v>0.54686699999999999</v>
      </c>
      <c r="K31" s="249">
        <f t="shared" si="9"/>
        <v>0.96606099999999995</v>
      </c>
      <c r="L31" s="243">
        <f t="shared" si="10"/>
        <v>20</v>
      </c>
      <c r="M31" s="244">
        <f t="shared" si="2"/>
        <v>11.321583212654273</v>
      </c>
      <c r="N31" s="250">
        <v>1</v>
      </c>
      <c r="O31" s="251">
        <f t="shared" si="11"/>
        <v>17</v>
      </c>
      <c r="P31" s="243">
        <f t="shared" si="12"/>
        <v>20</v>
      </c>
      <c r="Q31" s="247">
        <f t="shared" si="13"/>
        <v>1.1764705882352942</v>
      </c>
      <c r="R31" s="252">
        <f t="shared" si="14"/>
        <v>22.56791416300371</v>
      </c>
      <c r="S31" s="253">
        <f t="shared" si="3"/>
        <v>696.24955686245892</v>
      </c>
      <c r="T31" s="254">
        <f t="shared" si="4"/>
        <v>3.2413541869530993E-2</v>
      </c>
      <c r="U31" s="223">
        <f t="shared" si="15"/>
        <v>145020300</v>
      </c>
      <c r="V31" s="224">
        <f t="shared" si="17"/>
        <v>4700621.565981945</v>
      </c>
    </row>
    <row r="32" spans="1:22" x14ac:dyDescent="0.35">
      <c r="A32" s="208" t="s">
        <v>81</v>
      </c>
      <c r="B32" s="256">
        <v>428</v>
      </c>
      <c r="C32" s="210">
        <f t="shared" si="5"/>
        <v>362151</v>
      </c>
      <c r="D32" s="211">
        <f t="shared" si="6"/>
        <v>50</v>
      </c>
      <c r="E32" s="212">
        <f t="shared" si="0"/>
        <v>5.9091373487854516E-2</v>
      </c>
      <c r="F32" s="213">
        <v>3</v>
      </c>
      <c r="G32" s="214">
        <f t="shared" si="7"/>
        <v>5</v>
      </c>
      <c r="H32" s="211">
        <f t="shared" si="8"/>
        <v>10</v>
      </c>
      <c r="I32" s="215">
        <f t="shared" si="1"/>
        <v>6</v>
      </c>
      <c r="J32" s="216">
        <v>0.22275400000000001</v>
      </c>
      <c r="K32" s="217">
        <f t="shared" si="9"/>
        <v>0.96606099999999995</v>
      </c>
      <c r="L32" s="211">
        <f t="shared" si="10"/>
        <v>20</v>
      </c>
      <c r="M32" s="212">
        <f t="shared" si="2"/>
        <v>4.6115928497268808</v>
      </c>
      <c r="N32" s="250">
        <v>1</v>
      </c>
      <c r="O32" s="219">
        <f t="shared" si="11"/>
        <v>17</v>
      </c>
      <c r="P32" s="211">
        <f t="shared" si="12"/>
        <v>20</v>
      </c>
      <c r="Q32" s="215">
        <f t="shared" si="13"/>
        <v>1.1764705882352942</v>
      </c>
      <c r="R32" s="220">
        <f t="shared" si="14"/>
        <v>11.847154811450029</v>
      </c>
      <c r="S32" s="221">
        <f t="shared" si="3"/>
        <v>696.24955686245892</v>
      </c>
      <c r="T32" s="222">
        <f t="shared" si="4"/>
        <v>1.701567303660113E-2</v>
      </c>
      <c r="U32" s="223">
        <f t="shared" si="15"/>
        <v>145020300</v>
      </c>
      <c r="V32" s="257">
        <f t="shared" si="17"/>
        <v>2467618.008469807</v>
      </c>
    </row>
    <row r="33" spans="1:22" x14ac:dyDescent="0.35">
      <c r="A33" s="208" t="s">
        <v>82</v>
      </c>
      <c r="B33" s="226">
        <v>364</v>
      </c>
      <c r="C33" s="210">
        <f t="shared" si="5"/>
        <v>362151</v>
      </c>
      <c r="D33" s="211">
        <f t="shared" si="6"/>
        <v>50</v>
      </c>
      <c r="E33" s="212">
        <f t="shared" si="0"/>
        <v>5.0255280256025804E-2</v>
      </c>
      <c r="F33" s="213">
        <v>3</v>
      </c>
      <c r="G33" s="214">
        <f t="shared" si="7"/>
        <v>5</v>
      </c>
      <c r="H33" s="211">
        <f t="shared" si="8"/>
        <v>10</v>
      </c>
      <c r="I33" s="215">
        <f t="shared" si="1"/>
        <v>6</v>
      </c>
      <c r="J33" s="216">
        <v>0.56483399999999995</v>
      </c>
      <c r="K33" s="217">
        <f t="shared" si="9"/>
        <v>0.96606099999999995</v>
      </c>
      <c r="L33" s="211">
        <f t="shared" si="10"/>
        <v>20</v>
      </c>
      <c r="M33" s="212">
        <f t="shared" si="2"/>
        <v>11.693547301878453</v>
      </c>
      <c r="N33" s="250">
        <v>4</v>
      </c>
      <c r="O33" s="219">
        <f t="shared" si="11"/>
        <v>17</v>
      </c>
      <c r="P33" s="211">
        <f t="shared" si="12"/>
        <v>20</v>
      </c>
      <c r="Q33" s="215">
        <f t="shared" si="13"/>
        <v>4.7058823529411766</v>
      </c>
      <c r="R33" s="220">
        <f t="shared" si="14"/>
        <v>22.449684935075656</v>
      </c>
      <c r="S33" s="221">
        <f t="shared" si="3"/>
        <v>696.24955686245892</v>
      </c>
      <c r="T33" s="222">
        <f t="shared" si="4"/>
        <v>3.2243733175560917E-2</v>
      </c>
      <c r="U33" s="223">
        <f t="shared" si="15"/>
        <v>145020300</v>
      </c>
      <c r="V33" s="240">
        <f t="shared" si="17"/>
        <v>4675995.8582397969</v>
      </c>
    </row>
    <row r="34" spans="1:22" ht="15" thickBot="1" x14ac:dyDescent="0.4">
      <c r="A34" s="225" t="s">
        <v>83</v>
      </c>
      <c r="B34" s="226">
        <v>314</v>
      </c>
      <c r="C34" s="227">
        <f t="shared" si="5"/>
        <v>362151</v>
      </c>
      <c r="D34" s="228">
        <f t="shared" si="6"/>
        <v>50</v>
      </c>
      <c r="E34" s="229">
        <f t="shared" si="0"/>
        <v>4.3352082418659621E-2</v>
      </c>
      <c r="F34" s="230">
        <v>3</v>
      </c>
      <c r="G34" s="231">
        <f t="shared" si="7"/>
        <v>5</v>
      </c>
      <c r="H34" s="228">
        <f t="shared" si="8"/>
        <v>10</v>
      </c>
      <c r="I34" s="232">
        <f t="shared" si="1"/>
        <v>6</v>
      </c>
      <c r="J34" s="233">
        <v>0.35553099999999999</v>
      </c>
      <c r="K34" s="234">
        <f t="shared" si="9"/>
        <v>0.96606099999999995</v>
      </c>
      <c r="L34" s="228">
        <f t="shared" si="10"/>
        <v>20</v>
      </c>
      <c r="M34" s="229">
        <f t="shared" si="2"/>
        <v>7.3604254803785683</v>
      </c>
      <c r="N34" s="250">
        <v>1</v>
      </c>
      <c r="O34" s="236">
        <f t="shared" si="11"/>
        <v>17</v>
      </c>
      <c r="P34" s="228">
        <f t="shared" si="12"/>
        <v>20</v>
      </c>
      <c r="Q34" s="232">
        <f t="shared" si="13"/>
        <v>1.1764705882352942</v>
      </c>
      <c r="R34" s="237">
        <f t="shared" si="14"/>
        <v>14.580248151032521</v>
      </c>
      <c r="S34" s="238">
        <f t="shared" si="3"/>
        <v>696.24955686245892</v>
      </c>
      <c r="T34" s="239">
        <f t="shared" si="4"/>
        <v>2.0941123778571807E-2</v>
      </c>
      <c r="U34" s="223">
        <f t="shared" si="15"/>
        <v>145020300</v>
      </c>
      <c r="V34" s="240">
        <f t="shared" si="17"/>
        <v>3036888.0527056172</v>
      </c>
    </row>
    <row r="35" spans="1:22" x14ac:dyDescent="0.35">
      <c r="A35" s="241" t="s">
        <v>84</v>
      </c>
      <c r="B35" s="226">
        <v>118</v>
      </c>
      <c r="C35" s="242">
        <f t="shared" si="5"/>
        <v>362151</v>
      </c>
      <c r="D35" s="243">
        <f t="shared" si="6"/>
        <v>50</v>
      </c>
      <c r="E35" s="244">
        <f t="shared" si="0"/>
        <v>1.6291546896184186E-2</v>
      </c>
      <c r="F35" s="245">
        <v>3</v>
      </c>
      <c r="G35" s="246">
        <f t="shared" si="7"/>
        <v>5</v>
      </c>
      <c r="H35" s="211">
        <f t="shared" si="8"/>
        <v>10</v>
      </c>
      <c r="I35" s="247">
        <f t="shared" si="1"/>
        <v>6</v>
      </c>
      <c r="J35" s="248">
        <v>0</v>
      </c>
      <c r="K35" s="249">
        <f t="shared" si="9"/>
        <v>0.96606099999999995</v>
      </c>
      <c r="L35" s="243">
        <f t="shared" si="10"/>
        <v>20</v>
      </c>
      <c r="M35" s="244">
        <f t="shared" si="2"/>
        <v>0</v>
      </c>
      <c r="N35" s="250">
        <v>2</v>
      </c>
      <c r="O35" s="251">
        <f t="shared" si="11"/>
        <v>17</v>
      </c>
      <c r="P35" s="243">
        <f t="shared" si="12"/>
        <v>20</v>
      </c>
      <c r="Q35" s="247">
        <f t="shared" si="13"/>
        <v>2.3529411764705883</v>
      </c>
      <c r="R35" s="252">
        <f t="shared" si="14"/>
        <v>8.3692327233667729</v>
      </c>
      <c r="S35" s="253">
        <f t="shared" si="3"/>
        <v>696.24955686245892</v>
      </c>
      <c r="T35" s="254">
        <f t="shared" si="4"/>
        <v>1.2020449623094093E-2</v>
      </c>
      <c r="U35" s="223">
        <f t="shared" si="15"/>
        <v>145020300</v>
      </c>
      <c r="V35" s="240">
        <f t="shared" si="17"/>
        <v>1743209.2104759922</v>
      </c>
    </row>
    <row r="36" spans="1:22" x14ac:dyDescent="0.35">
      <c r="A36" s="208" t="s">
        <v>85</v>
      </c>
      <c r="B36" s="226">
        <v>89</v>
      </c>
      <c r="C36" s="210">
        <f t="shared" si="5"/>
        <v>362151</v>
      </c>
      <c r="D36" s="211">
        <f t="shared" si="6"/>
        <v>50</v>
      </c>
      <c r="E36" s="212">
        <f t="shared" si="0"/>
        <v>1.2287692150511804E-2</v>
      </c>
      <c r="F36" s="213">
        <v>3</v>
      </c>
      <c r="G36" s="214">
        <f t="shared" si="7"/>
        <v>5</v>
      </c>
      <c r="H36" s="211">
        <f t="shared" si="8"/>
        <v>10</v>
      </c>
      <c r="I36" s="215">
        <f t="shared" si="1"/>
        <v>6</v>
      </c>
      <c r="J36" s="216">
        <v>9.9208999999999999E-3</v>
      </c>
      <c r="K36" s="217">
        <f t="shared" si="9"/>
        <v>0.96606099999999995</v>
      </c>
      <c r="L36" s="211">
        <f t="shared" si="10"/>
        <v>20</v>
      </c>
      <c r="M36" s="212">
        <f t="shared" si="2"/>
        <v>0.20538868663573004</v>
      </c>
      <c r="N36" s="250">
        <v>2</v>
      </c>
      <c r="O36" s="219">
        <f t="shared" si="11"/>
        <v>17</v>
      </c>
      <c r="P36" s="211">
        <f t="shared" si="12"/>
        <v>20</v>
      </c>
      <c r="Q36" s="215">
        <f t="shared" si="13"/>
        <v>2.3529411764705883</v>
      </c>
      <c r="R36" s="220">
        <f t="shared" si="14"/>
        <v>8.5706175552568293</v>
      </c>
      <c r="S36" s="221">
        <f t="shared" si="3"/>
        <v>696.24955686245892</v>
      </c>
      <c r="T36" s="222">
        <f t="shared" si="4"/>
        <v>1.2309691935574069E-2</v>
      </c>
      <c r="U36" s="223">
        <f t="shared" si="15"/>
        <v>145020300</v>
      </c>
      <c r="V36" s="240">
        <f>T36*U36-100</f>
        <v>1785055.2174045322</v>
      </c>
    </row>
    <row r="37" spans="1:22" ht="15" thickBot="1" x14ac:dyDescent="0.4">
      <c r="A37" s="106"/>
      <c r="B37" s="7"/>
      <c r="C37" s="5"/>
      <c r="D37" s="5"/>
      <c r="E37" s="92"/>
      <c r="F37" s="107"/>
      <c r="G37" s="108"/>
      <c r="H37" s="108"/>
      <c r="I37" s="106"/>
      <c r="J37" s="7"/>
      <c r="K37" s="5"/>
      <c r="L37" s="5"/>
      <c r="M37" s="92"/>
      <c r="N37" s="107"/>
      <c r="O37" s="108"/>
      <c r="P37" s="291" t="s">
        <v>24</v>
      </c>
      <c r="Q37" s="292"/>
      <c r="R37" s="109">
        <f>SUM(R7:R36)</f>
        <v>696.24955686245892</v>
      </c>
      <c r="S37" s="5"/>
      <c r="T37" s="6">
        <f>SUM(T7:T36)</f>
        <v>0.99999999999999978</v>
      </c>
      <c r="U37" s="92"/>
      <c r="V37" s="48">
        <f>SUM(V7:V24)</f>
        <v>149509000</v>
      </c>
    </row>
    <row r="38" spans="1:22" ht="43.5" x14ac:dyDescent="0.35">
      <c r="A38" s="206" t="s">
        <v>74</v>
      </c>
      <c r="V38" s="199"/>
    </row>
    <row r="39" spans="1:22" ht="58" x14ac:dyDescent="0.35">
      <c r="A39" s="206" t="s">
        <v>87</v>
      </c>
    </row>
    <row r="41" spans="1:22" ht="15.5" x14ac:dyDescent="0.35">
      <c r="M41" s="4"/>
      <c r="N41" s="3"/>
      <c r="O41" s="3"/>
    </row>
  </sheetData>
  <mergeCells count="31">
    <mergeCell ref="D1:E1"/>
    <mergeCell ref="D2:E2"/>
    <mergeCell ref="F1:G1"/>
    <mergeCell ref="S3:S6"/>
    <mergeCell ref="T3:T6"/>
    <mergeCell ref="N3:Q3"/>
    <mergeCell ref="N4:O4"/>
    <mergeCell ref="P4:Q4"/>
    <mergeCell ref="F2:G2"/>
    <mergeCell ref="U3:U6"/>
    <mergeCell ref="V3:V6"/>
    <mergeCell ref="B4:C4"/>
    <mergeCell ref="D4:E4"/>
    <mergeCell ref="F4:G4"/>
    <mergeCell ref="H4:I4"/>
    <mergeCell ref="J4:K4"/>
    <mergeCell ref="L4:M4"/>
    <mergeCell ref="R3:R6"/>
    <mergeCell ref="J3:M3"/>
    <mergeCell ref="F3:I3"/>
    <mergeCell ref="D5:E5"/>
    <mergeCell ref="A3:A6"/>
    <mergeCell ref="B3:E3"/>
    <mergeCell ref="P37:Q37"/>
    <mergeCell ref="F5:G5"/>
    <mergeCell ref="H5:I5"/>
    <mergeCell ref="J5:K5"/>
    <mergeCell ref="L5:M5"/>
    <mergeCell ref="N5:O5"/>
    <mergeCell ref="P5:Q5"/>
    <mergeCell ref="B5:C5"/>
  </mergeCells>
  <pageMargins left="0.7" right="0.7" top="0.75" bottom="0.75" header="0.3" footer="0.3"/>
  <pageSetup scale="3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8170C-FBF1-4007-AE6F-735F2D7AB40C}">
  <sheetPr>
    <tabColor theme="9" tint="0.79998168889431442"/>
    <pageSetUpPr fitToPage="1"/>
  </sheetPr>
  <dimension ref="A1:X26"/>
  <sheetViews>
    <sheetView zoomScaleNormal="100" workbookViewId="0">
      <pane xSplit="1" topLeftCell="K1" activePane="topRight" state="frozen"/>
      <selection sqref="A1:I35"/>
      <selection pane="topRight" activeCell="R16" sqref="R16"/>
    </sheetView>
  </sheetViews>
  <sheetFormatPr defaultRowHeight="14.5" x14ac:dyDescent="0.35"/>
  <cols>
    <col min="1" max="1" width="21.1796875" customWidth="1"/>
    <col min="2" max="2" width="18.7265625" bestFit="1" customWidth="1"/>
    <col min="3" max="3" width="14.54296875" bestFit="1" customWidth="1"/>
    <col min="4" max="4" width="7.1796875" bestFit="1" customWidth="1"/>
    <col min="5" max="5" width="16.1796875" customWidth="1"/>
    <col min="6" max="6" width="10.453125" customWidth="1"/>
    <col min="7" max="7" width="9.7265625" customWidth="1"/>
    <col min="8" max="8" width="13" customWidth="1"/>
    <col min="9" max="9" width="10.1796875" customWidth="1"/>
    <col min="10" max="10" width="8.26953125" bestFit="1" customWidth="1"/>
    <col min="11" max="11" width="8.453125" bestFit="1" customWidth="1"/>
    <col min="12" max="12" width="7.1796875" bestFit="1" customWidth="1"/>
    <col min="13" max="13" width="10.7265625" bestFit="1" customWidth="1"/>
    <col min="14" max="14" width="8.26953125" bestFit="1" customWidth="1"/>
    <col min="15" max="15" width="8.453125" customWidth="1"/>
    <col min="16" max="16" width="7.1796875" bestFit="1" customWidth="1"/>
    <col min="17" max="17" width="13" bestFit="1" customWidth="1"/>
    <col min="18" max="18" width="17.26953125" customWidth="1"/>
    <col min="19" max="19" width="13.1796875" customWidth="1"/>
    <col min="20" max="20" width="14.26953125" customWidth="1"/>
    <col min="21" max="22" width="16.1796875" customWidth="1"/>
    <col min="23" max="23" width="14.6328125" bestFit="1" customWidth="1"/>
    <col min="24" max="24" width="12.08984375" bestFit="1" customWidth="1"/>
  </cols>
  <sheetData>
    <row r="1" spans="1:24" s="42" customFormat="1" ht="17" x14ac:dyDescent="0.4">
      <c r="A1" s="113" t="s">
        <v>0</v>
      </c>
      <c r="B1" s="89" t="s">
        <v>52</v>
      </c>
      <c r="C1" s="46"/>
      <c r="D1" s="322" t="s">
        <v>1</v>
      </c>
      <c r="E1" s="322"/>
      <c r="F1" s="324">
        <f>B2+F2</f>
        <v>179547000</v>
      </c>
      <c r="G1" s="324"/>
      <c r="H1" s="99"/>
      <c r="I1" s="45"/>
      <c r="J1" s="45"/>
      <c r="K1" s="45"/>
      <c r="W1" s="43"/>
    </row>
    <row r="2" spans="1:24" s="42" customFormat="1" ht="17.5" thickBot="1" x14ac:dyDescent="0.45">
      <c r="A2" s="60" t="s">
        <v>10</v>
      </c>
      <c r="B2" s="99">
        <v>149509000</v>
      </c>
      <c r="C2" s="100"/>
      <c r="D2" s="343" t="s">
        <v>11</v>
      </c>
      <c r="E2" s="343"/>
      <c r="F2" s="344">
        <v>30038000</v>
      </c>
      <c r="G2" s="344"/>
      <c r="H2" s="99"/>
      <c r="I2" s="44"/>
      <c r="W2" s="43"/>
    </row>
    <row r="3" spans="1:24" x14ac:dyDescent="0.35">
      <c r="A3" s="330" t="s">
        <v>12</v>
      </c>
      <c r="B3" s="288" t="s">
        <v>53</v>
      </c>
      <c r="C3" s="289"/>
      <c r="D3" s="289"/>
      <c r="E3" s="290"/>
      <c r="F3" s="333" t="s">
        <v>56</v>
      </c>
      <c r="G3" s="289"/>
      <c r="H3" s="289"/>
      <c r="I3" s="334"/>
      <c r="J3" s="335" t="s">
        <v>57</v>
      </c>
      <c r="K3" s="336"/>
      <c r="L3" s="336"/>
      <c r="M3" s="337"/>
      <c r="N3" s="333" t="s">
        <v>58</v>
      </c>
      <c r="O3" s="289"/>
      <c r="P3" s="289"/>
      <c r="Q3" s="334"/>
      <c r="R3" s="316" t="s">
        <v>13</v>
      </c>
      <c r="S3" s="325" t="s">
        <v>14</v>
      </c>
      <c r="T3" s="325" t="s">
        <v>25</v>
      </c>
      <c r="U3" s="340" t="s">
        <v>16</v>
      </c>
      <c r="V3" s="304" t="s">
        <v>17</v>
      </c>
    </row>
    <row r="4" spans="1:24" x14ac:dyDescent="0.35">
      <c r="A4" s="331"/>
      <c r="B4" s="307" t="s">
        <v>18</v>
      </c>
      <c r="C4" s="308"/>
      <c r="D4" s="338">
        <f>MAX(B7:B14)</f>
        <v>40796</v>
      </c>
      <c r="E4" s="339"/>
      <c r="F4" s="311" t="s">
        <v>18</v>
      </c>
      <c r="G4" s="308"/>
      <c r="H4" s="295">
        <f>MAX(F7:F14)</f>
        <v>4</v>
      </c>
      <c r="I4" s="296"/>
      <c r="J4" s="307" t="s">
        <v>18</v>
      </c>
      <c r="K4" s="308"/>
      <c r="L4" s="295">
        <f>MAX(J7:J14)</f>
        <v>0.82099999999999995</v>
      </c>
      <c r="M4" s="298"/>
      <c r="N4" s="311" t="s">
        <v>18</v>
      </c>
      <c r="O4" s="308"/>
      <c r="P4" s="295">
        <f>MAX(N7:N14)</f>
        <v>17</v>
      </c>
      <c r="Q4" s="296"/>
      <c r="R4" s="317"/>
      <c r="S4" s="326"/>
      <c r="T4" s="326"/>
      <c r="U4" s="341"/>
      <c r="V4" s="305"/>
    </row>
    <row r="5" spans="1:24" x14ac:dyDescent="0.35">
      <c r="A5" s="331"/>
      <c r="B5" s="297" t="s">
        <v>19</v>
      </c>
      <c r="C5" s="294"/>
      <c r="D5" s="312">
        <v>50</v>
      </c>
      <c r="E5" s="339"/>
      <c r="F5" s="293" t="s">
        <v>19</v>
      </c>
      <c r="G5" s="294"/>
      <c r="H5" s="295">
        <v>10</v>
      </c>
      <c r="I5" s="296"/>
      <c r="J5" s="297" t="s">
        <v>19</v>
      </c>
      <c r="K5" s="294"/>
      <c r="L5" s="295">
        <v>20</v>
      </c>
      <c r="M5" s="298"/>
      <c r="N5" s="293" t="s">
        <v>19</v>
      </c>
      <c r="O5" s="294"/>
      <c r="P5" s="295">
        <v>20</v>
      </c>
      <c r="Q5" s="296"/>
      <c r="R5" s="317"/>
      <c r="S5" s="326"/>
      <c r="T5" s="326"/>
      <c r="U5" s="341"/>
      <c r="V5" s="305"/>
    </row>
    <row r="6" spans="1:24" ht="73" thickBot="1" x14ac:dyDescent="0.4">
      <c r="A6" s="332"/>
      <c r="B6" s="112" t="s">
        <v>20</v>
      </c>
      <c r="C6" s="111" t="s">
        <v>21</v>
      </c>
      <c r="D6" s="111" t="s">
        <v>22</v>
      </c>
      <c r="E6" s="86" t="s">
        <v>23</v>
      </c>
      <c r="F6" s="87" t="s">
        <v>20</v>
      </c>
      <c r="G6" s="111" t="s">
        <v>21</v>
      </c>
      <c r="H6" s="111" t="s">
        <v>22</v>
      </c>
      <c r="I6" s="59" t="s">
        <v>23</v>
      </c>
      <c r="J6" s="112" t="s">
        <v>20</v>
      </c>
      <c r="K6" s="111" t="s">
        <v>21</v>
      </c>
      <c r="L6" s="111" t="s">
        <v>22</v>
      </c>
      <c r="M6" s="86" t="s">
        <v>23</v>
      </c>
      <c r="N6" s="87" t="s">
        <v>20</v>
      </c>
      <c r="O6" s="111" t="s">
        <v>21</v>
      </c>
      <c r="P6" s="111" t="s">
        <v>22</v>
      </c>
      <c r="Q6" s="59" t="s">
        <v>23</v>
      </c>
      <c r="R6" s="318"/>
      <c r="S6" s="327"/>
      <c r="T6" s="327"/>
      <c r="U6" s="342"/>
      <c r="V6" s="306"/>
    </row>
    <row r="7" spans="1:24" x14ac:dyDescent="0.35">
      <c r="A7" s="26" t="s">
        <v>47</v>
      </c>
      <c r="B7" s="167">
        <v>40796</v>
      </c>
      <c r="C7" s="142">
        <f>$D$4</f>
        <v>40796</v>
      </c>
      <c r="D7" s="117">
        <f>$D$5</f>
        <v>50</v>
      </c>
      <c r="E7" s="23">
        <f t="shared" ref="E7:E14" si="0">D7*(B7/C7)</f>
        <v>50</v>
      </c>
      <c r="F7" s="147">
        <v>3</v>
      </c>
      <c r="G7" s="136">
        <f>$H$4</f>
        <v>4</v>
      </c>
      <c r="H7" s="117">
        <f>$H$5</f>
        <v>10</v>
      </c>
      <c r="I7" s="24">
        <f t="shared" ref="I7:I14" si="1">H7*(F7/G7)</f>
        <v>7.5</v>
      </c>
      <c r="J7" s="187">
        <v>0.2</v>
      </c>
      <c r="K7" s="128">
        <f>$L$4</f>
        <v>0.82099999999999995</v>
      </c>
      <c r="L7" s="128">
        <f>$L$5</f>
        <v>20</v>
      </c>
      <c r="M7" s="58">
        <f t="shared" ref="M7:M14" si="2">L7*(J7/K7)</f>
        <v>4.8721071863581003</v>
      </c>
      <c r="N7" s="135">
        <v>17</v>
      </c>
      <c r="O7" s="136">
        <f>$P$4</f>
        <v>17</v>
      </c>
      <c r="P7" s="117">
        <f>$P$5</f>
        <v>20</v>
      </c>
      <c r="Q7" s="24">
        <f t="shared" ref="Q7:Q14" si="3">P7*(N7/O7)</f>
        <v>20</v>
      </c>
      <c r="R7" s="25">
        <f t="shared" ref="R7:R14" si="4">E7+I7+M7+Q7</f>
        <v>82.372107186358107</v>
      </c>
      <c r="S7" s="22">
        <f t="shared" ref="S7:S14" si="5">$R$15</f>
        <v>390.81574663410004</v>
      </c>
      <c r="T7" s="21">
        <f t="shared" ref="T7:T14" si="6">R7/S7</f>
        <v>0.21076967316641598</v>
      </c>
      <c r="U7" s="52">
        <f t="shared" ref="U7:U14" si="7">$F$2</f>
        <v>30038000</v>
      </c>
      <c r="V7" s="193">
        <f>ROUND(((T7*U7)+V14),-2)</f>
        <v>7307700</v>
      </c>
      <c r="W7" s="47"/>
    </row>
    <row r="8" spans="1:24" x14ac:dyDescent="0.35">
      <c r="A8" s="158" t="s">
        <v>45</v>
      </c>
      <c r="B8" s="168">
        <v>32609</v>
      </c>
      <c r="C8" s="143">
        <f t="shared" ref="C8:C14" si="8">$D$4</f>
        <v>40796</v>
      </c>
      <c r="D8" s="120">
        <f t="shared" ref="D8:D14" si="9">$D$5</f>
        <v>50</v>
      </c>
      <c r="E8" s="16">
        <f t="shared" si="0"/>
        <v>39.965928032160015</v>
      </c>
      <c r="F8" s="148">
        <v>1</v>
      </c>
      <c r="G8" s="137">
        <f t="shared" ref="G8:G14" si="10">$H$4</f>
        <v>4</v>
      </c>
      <c r="H8" s="120">
        <f t="shared" ref="H8:H14" si="11">$H$5</f>
        <v>10</v>
      </c>
      <c r="I8" s="17">
        <f t="shared" si="1"/>
        <v>2.5</v>
      </c>
      <c r="J8" s="188">
        <v>0.14000000000000001</v>
      </c>
      <c r="K8" s="130">
        <f t="shared" ref="K8:K14" si="12">$L$4</f>
        <v>0.82099999999999995</v>
      </c>
      <c r="L8" s="130">
        <f t="shared" ref="L8:L14" si="13">$L$5</f>
        <v>20</v>
      </c>
      <c r="M8" s="57">
        <f t="shared" si="2"/>
        <v>3.4104750304506704</v>
      </c>
      <c r="N8" s="152">
        <v>13</v>
      </c>
      <c r="O8" s="137">
        <f t="shared" ref="O8:O14" si="14">$P$4</f>
        <v>17</v>
      </c>
      <c r="P8" s="120">
        <f t="shared" ref="P8:P14" si="15">$P$5</f>
        <v>20</v>
      </c>
      <c r="Q8" s="17">
        <f t="shared" si="3"/>
        <v>15.294117647058822</v>
      </c>
      <c r="R8" s="19">
        <f t="shared" si="4"/>
        <v>61.170520709669503</v>
      </c>
      <c r="S8" s="15">
        <f t="shared" si="5"/>
        <v>390.81574663410004</v>
      </c>
      <c r="T8" s="14">
        <f t="shared" si="6"/>
        <v>0.15652010246900364</v>
      </c>
      <c r="U8" s="51">
        <f t="shared" si="7"/>
        <v>30038000</v>
      </c>
      <c r="V8" s="194">
        <f t="shared" ref="V8:V13" si="16">ROUND((T8*U8),-2)</f>
        <v>4701600</v>
      </c>
      <c r="W8" s="198"/>
    </row>
    <row r="9" spans="1:24" ht="15" thickBot="1" x14ac:dyDescent="0.4">
      <c r="A9" s="166" t="s">
        <v>49</v>
      </c>
      <c r="B9" s="169">
        <v>30725</v>
      </c>
      <c r="C9" s="144">
        <f t="shared" si="8"/>
        <v>40796</v>
      </c>
      <c r="D9" s="123">
        <f t="shared" si="9"/>
        <v>50</v>
      </c>
      <c r="E9" s="10">
        <f t="shared" si="0"/>
        <v>37.656878125306406</v>
      </c>
      <c r="F9" s="149">
        <v>3</v>
      </c>
      <c r="G9" s="138">
        <f t="shared" si="10"/>
        <v>4</v>
      </c>
      <c r="H9" s="123">
        <f t="shared" si="11"/>
        <v>10</v>
      </c>
      <c r="I9" s="11">
        <f t="shared" si="1"/>
        <v>7.5</v>
      </c>
      <c r="J9" s="189">
        <v>0.23</v>
      </c>
      <c r="K9" s="132">
        <f t="shared" si="12"/>
        <v>0.82099999999999995</v>
      </c>
      <c r="L9" s="132">
        <f t="shared" si="13"/>
        <v>20</v>
      </c>
      <c r="M9" s="56">
        <f t="shared" si="2"/>
        <v>5.6029232643118156</v>
      </c>
      <c r="N9" s="153">
        <v>13</v>
      </c>
      <c r="O9" s="138">
        <f t="shared" si="14"/>
        <v>17</v>
      </c>
      <c r="P9" s="123">
        <f t="shared" si="15"/>
        <v>20</v>
      </c>
      <c r="Q9" s="11">
        <f t="shared" si="3"/>
        <v>15.294117647058822</v>
      </c>
      <c r="R9" s="12">
        <f t="shared" si="4"/>
        <v>66.053919036677044</v>
      </c>
      <c r="S9" s="9">
        <f t="shared" si="5"/>
        <v>390.81574663410004</v>
      </c>
      <c r="T9" s="8">
        <f t="shared" si="6"/>
        <v>0.16901550054102557</v>
      </c>
      <c r="U9" s="50">
        <f t="shared" si="7"/>
        <v>30038000</v>
      </c>
      <c r="V9" s="195">
        <f t="shared" si="16"/>
        <v>5076900</v>
      </c>
      <c r="W9" s="47"/>
    </row>
    <row r="10" spans="1:24" x14ac:dyDescent="0.35">
      <c r="A10" s="159" t="s">
        <v>54</v>
      </c>
      <c r="B10" s="170">
        <v>25367</v>
      </c>
      <c r="C10" s="145">
        <f t="shared" si="8"/>
        <v>40796</v>
      </c>
      <c r="D10" s="124">
        <f t="shared" si="9"/>
        <v>50</v>
      </c>
      <c r="E10" s="34">
        <f t="shared" si="0"/>
        <v>31.090057848808705</v>
      </c>
      <c r="F10" s="150">
        <v>3</v>
      </c>
      <c r="G10" s="139">
        <f t="shared" si="10"/>
        <v>4</v>
      </c>
      <c r="H10" s="124">
        <f t="shared" si="11"/>
        <v>10</v>
      </c>
      <c r="I10" s="35">
        <f t="shared" si="1"/>
        <v>7.5</v>
      </c>
      <c r="J10" s="190">
        <v>8.8999999999999996E-2</v>
      </c>
      <c r="K10" s="133">
        <f t="shared" si="12"/>
        <v>0.82099999999999995</v>
      </c>
      <c r="L10" s="133">
        <f t="shared" si="13"/>
        <v>20</v>
      </c>
      <c r="M10" s="34">
        <f t="shared" si="2"/>
        <v>2.1680876979293546</v>
      </c>
      <c r="N10" s="154">
        <v>9</v>
      </c>
      <c r="O10" s="139">
        <f t="shared" si="14"/>
        <v>17</v>
      </c>
      <c r="P10" s="124">
        <f t="shared" si="15"/>
        <v>20</v>
      </c>
      <c r="Q10" s="35">
        <f t="shared" si="3"/>
        <v>10.588235294117647</v>
      </c>
      <c r="R10" s="36">
        <f t="shared" si="4"/>
        <v>51.346380840855701</v>
      </c>
      <c r="S10" s="33">
        <f t="shared" si="5"/>
        <v>390.81574663410004</v>
      </c>
      <c r="T10" s="32">
        <f t="shared" si="6"/>
        <v>0.13138257934353034</v>
      </c>
      <c r="U10" s="55">
        <f t="shared" si="7"/>
        <v>30038000</v>
      </c>
      <c r="V10" s="196">
        <f t="shared" si="16"/>
        <v>3946500</v>
      </c>
      <c r="W10" s="198"/>
    </row>
    <row r="11" spans="1:24" x14ac:dyDescent="0.35">
      <c r="A11" s="20" t="s">
        <v>48</v>
      </c>
      <c r="B11" s="168">
        <v>18859</v>
      </c>
      <c r="C11" s="143">
        <f t="shared" si="8"/>
        <v>40796</v>
      </c>
      <c r="D11" s="120">
        <f t="shared" si="9"/>
        <v>50</v>
      </c>
      <c r="E11" s="16">
        <f t="shared" si="0"/>
        <v>23.1137856652613</v>
      </c>
      <c r="F11" s="148">
        <v>4</v>
      </c>
      <c r="G11" s="137">
        <f t="shared" si="10"/>
        <v>4</v>
      </c>
      <c r="H11" s="120">
        <f t="shared" si="11"/>
        <v>10</v>
      </c>
      <c r="I11" s="17">
        <f t="shared" si="1"/>
        <v>10</v>
      </c>
      <c r="J11" s="191">
        <v>0.82099999999999995</v>
      </c>
      <c r="K11" s="130">
        <f t="shared" si="12"/>
        <v>0.82099999999999995</v>
      </c>
      <c r="L11" s="130">
        <f t="shared" si="13"/>
        <v>20</v>
      </c>
      <c r="M11" s="16">
        <f t="shared" si="2"/>
        <v>20</v>
      </c>
      <c r="N11" s="152">
        <v>7</v>
      </c>
      <c r="O11" s="137">
        <f t="shared" si="14"/>
        <v>17</v>
      </c>
      <c r="P11" s="120">
        <f t="shared" si="15"/>
        <v>20</v>
      </c>
      <c r="Q11" s="17">
        <f t="shared" si="3"/>
        <v>8.235294117647058</v>
      </c>
      <c r="R11" s="19">
        <f t="shared" si="4"/>
        <v>61.349079782908362</v>
      </c>
      <c r="S11" s="15">
        <f t="shared" si="5"/>
        <v>390.81574663410004</v>
      </c>
      <c r="T11" s="14">
        <f t="shared" si="6"/>
        <v>0.15697699059282336</v>
      </c>
      <c r="U11" s="51">
        <f t="shared" si="7"/>
        <v>30038000</v>
      </c>
      <c r="V11" s="194">
        <f t="shared" si="16"/>
        <v>4715300</v>
      </c>
      <c r="W11" s="47"/>
    </row>
    <row r="12" spans="1:24" x14ac:dyDescent="0.35">
      <c r="A12" s="20" t="s">
        <v>46</v>
      </c>
      <c r="B12" s="168">
        <v>14261</v>
      </c>
      <c r="C12" s="143">
        <f t="shared" si="8"/>
        <v>40796</v>
      </c>
      <c r="D12" s="120">
        <f t="shared" si="9"/>
        <v>50</v>
      </c>
      <c r="E12" s="16">
        <f t="shared" si="0"/>
        <v>17.478429257770369</v>
      </c>
      <c r="F12" s="148">
        <v>3</v>
      </c>
      <c r="G12" s="137">
        <f t="shared" si="10"/>
        <v>4</v>
      </c>
      <c r="H12" s="120">
        <f t="shared" si="11"/>
        <v>10</v>
      </c>
      <c r="I12" s="17">
        <f t="shared" si="1"/>
        <v>7.5</v>
      </c>
      <c r="J12" s="191">
        <v>0.20399999999999999</v>
      </c>
      <c r="K12" s="130">
        <f t="shared" si="12"/>
        <v>0.82099999999999995</v>
      </c>
      <c r="L12" s="130">
        <f t="shared" si="13"/>
        <v>20</v>
      </c>
      <c r="M12" s="16">
        <f t="shared" si="2"/>
        <v>4.969549330085262</v>
      </c>
      <c r="N12" s="152">
        <v>4</v>
      </c>
      <c r="O12" s="137">
        <f t="shared" si="14"/>
        <v>17</v>
      </c>
      <c r="P12" s="120">
        <f t="shared" si="15"/>
        <v>20</v>
      </c>
      <c r="Q12" s="17">
        <f t="shared" si="3"/>
        <v>4.7058823529411766</v>
      </c>
      <c r="R12" s="19">
        <f t="shared" si="4"/>
        <v>34.653860940796804</v>
      </c>
      <c r="S12" s="15">
        <f t="shared" si="5"/>
        <v>390.81574663410004</v>
      </c>
      <c r="T12" s="14">
        <f t="shared" si="6"/>
        <v>8.8670585152346396E-2</v>
      </c>
      <c r="U12" s="51">
        <f t="shared" si="7"/>
        <v>30038000</v>
      </c>
      <c r="V12" s="194">
        <f t="shared" si="16"/>
        <v>2663500</v>
      </c>
      <c r="W12" s="198"/>
    </row>
    <row r="13" spans="1:24" ht="15" thickBot="1" x14ac:dyDescent="0.4">
      <c r="A13" s="165" t="s">
        <v>50</v>
      </c>
      <c r="B13" s="171">
        <v>2564</v>
      </c>
      <c r="C13" s="146">
        <f t="shared" si="8"/>
        <v>40796</v>
      </c>
      <c r="D13" s="125">
        <f t="shared" si="9"/>
        <v>50</v>
      </c>
      <c r="E13" s="29">
        <f t="shared" si="0"/>
        <v>3.1424649475438771</v>
      </c>
      <c r="F13" s="151">
        <v>4</v>
      </c>
      <c r="G13" s="140">
        <f t="shared" si="10"/>
        <v>4</v>
      </c>
      <c r="H13" s="125">
        <f t="shared" si="11"/>
        <v>10</v>
      </c>
      <c r="I13" s="30">
        <f t="shared" si="1"/>
        <v>10</v>
      </c>
      <c r="J13" s="192">
        <v>0.13600000000000001</v>
      </c>
      <c r="K13" s="134">
        <f t="shared" si="12"/>
        <v>0.82099999999999995</v>
      </c>
      <c r="L13" s="134">
        <f t="shared" si="13"/>
        <v>20</v>
      </c>
      <c r="M13" s="29">
        <f t="shared" si="2"/>
        <v>3.3130328867235082</v>
      </c>
      <c r="N13" s="155">
        <v>4</v>
      </c>
      <c r="O13" s="140">
        <f t="shared" si="14"/>
        <v>17</v>
      </c>
      <c r="P13" s="125">
        <f t="shared" si="15"/>
        <v>20</v>
      </c>
      <c r="Q13" s="30">
        <f t="shared" si="3"/>
        <v>4.7058823529411766</v>
      </c>
      <c r="R13" s="31">
        <f t="shared" si="4"/>
        <v>21.161380187208561</v>
      </c>
      <c r="S13" s="28">
        <f t="shared" si="5"/>
        <v>390.81574663410004</v>
      </c>
      <c r="T13" s="27">
        <f t="shared" si="6"/>
        <v>5.4146692832775838E-2</v>
      </c>
      <c r="U13" s="54">
        <f t="shared" si="7"/>
        <v>30038000</v>
      </c>
      <c r="V13" s="197">
        <f t="shared" si="16"/>
        <v>1626500</v>
      </c>
      <c r="W13" s="47"/>
    </row>
    <row r="14" spans="1:24" x14ac:dyDescent="0.35">
      <c r="A14" s="258" t="s">
        <v>73</v>
      </c>
      <c r="B14" s="256">
        <v>1370</v>
      </c>
      <c r="C14" s="246">
        <f t="shared" si="8"/>
        <v>40796</v>
      </c>
      <c r="D14" s="243">
        <f t="shared" si="9"/>
        <v>50</v>
      </c>
      <c r="E14" s="244">
        <f t="shared" si="0"/>
        <v>1.6790861849200902</v>
      </c>
      <c r="F14" s="259">
        <v>3</v>
      </c>
      <c r="G14" s="251">
        <f t="shared" si="10"/>
        <v>4</v>
      </c>
      <c r="H14" s="243">
        <f t="shared" si="11"/>
        <v>10</v>
      </c>
      <c r="I14" s="247">
        <f t="shared" si="1"/>
        <v>7.5</v>
      </c>
      <c r="J14" s="260">
        <v>0</v>
      </c>
      <c r="K14" s="243">
        <f t="shared" si="12"/>
        <v>0.82099999999999995</v>
      </c>
      <c r="L14" s="243">
        <f t="shared" si="13"/>
        <v>20</v>
      </c>
      <c r="M14" s="244">
        <f t="shared" si="2"/>
        <v>0</v>
      </c>
      <c r="N14" s="259">
        <v>3</v>
      </c>
      <c r="O14" s="251">
        <f t="shared" si="14"/>
        <v>17</v>
      </c>
      <c r="P14" s="243">
        <f t="shared" si="15"/>
        <v>20</v>
      </c>
      <c r="Q14" s="247">
        <f t="shared" si="3"/>
        <v>3.5294117647058827</v>
      </c>
      <c r="R14" s="252">
        <f t="shared" si="4"/>
        <v>12.708497949625972</v>
      </c>
      <c r="S14" s="253">
        <f t="shared" si="5"/>
        <v>390.81574663410004</v>
      </c>
      <c r="T14" s="254">
        <f t="shared" si="6"/>
        <v>3.2517875902078892E-2</v>
      </c>
      <c r="U14" s="261">
        <f t="shared" si="7"/>
        <v>30038000</v>
      </c>
      <c r="V14" s="262">
        <f>(T14*U14)-200</f>
        <v>976571.95634664572</v>
      </c>
      <c r="W14" s="198"/>
    </row>
    <row r="15" spans="1:24" ht="15" thickBot="1" x14ac:dyDescent="0.4">
      <c r="A15" s="110"/>
      <c r="B15" s="7"/>
      <c r="C15" s="5"/>
      <c r="D15" s="5"/>
      <c r="E15" s="92"/>
      <c r="F15" s="91"/>
      <c r="G15" s="5"/>
      <c r="H15" s="5"/>
      <c r="I15" s="49"/>
      <c r="J15" s="7"/>
      <c r="K15" s="5"/>
      <c r="L15" s="5"/>
      <c r="M15" s="92"/>
      <c r="N15" s="91"/>
      <c r="O15" s="5"/>
      <c r="P15" s="328" t="s">
        <v>24</v>
      </c>
      <c r="Q15" s="329"/>
      <c r="R15" s="109">
        <f>SUM(R7:R14)</f>
        <v>390.81574663410004</v>
      </c>
      <c r="S15" s="5"/>
      <c r="T15" s="6">
        <f>SUM(T7:T14)</f>
        <v>1</v>
      </c>
      <c r="U15" s="49"/>
      <c r="V15" s="48">
        <f>SUM(V7:V13)</f>
        <v>30038000</v>
      </c>
      <c r="W15" s="47"/>
      <c r="X15" s="47"/>
    </row>
    <row r="16" spans="1:24" ht="43.5" x14ac:dyDescent="0.35">
      <c r="A16" s="205" t="s">
        <v>74</v>
      </c>
    </row>
    <row r="22" spans="5:18" x14ac:dyDescent="0.35">
      <c r="R22" s="1"/>
    </row>
    <row r="24" spans="5:18" x14ac:dyDescent="0.35">
      <c r="E24" s="47"/>
    </row>
    <row r="26" spans="5:18" x14ac:dyDescent="0.35">
      <c r="H26" s="47"/>
    </row>
  </sheetData>
  <mergeCells count="31">
    <mergeCell ref="T3:T6"/>
    <mergeCell ref="U3:U6"/>
    <mergeCell ref="D1:E1"/>
    <mergeCell ref="F1:G1"/>
    <mergeCell ref="D2:E2"/>
    <mergeCell ref="F2:G2"/>
    <mergeCell ref="R3:R6"/>
    <mergeCell ref="N4:O4"/>
    <mergeCell ref="P4:Q4"/>
    <mergeCell ref="V3:V6"/>
    <mergeCell ref="A3:A6"/>
    <mergeCell ref="B3:E3"/>
    <mergeCell ref="F3:I3"/>
    <mergeCell ref="J3:M3"/>
    <mergeCell ref="N3:Q3"/>
    <mergeCell ref="L4:M4"/>
    <mergeCell ref="H4:I4"/>
    <mergeCell ref="J4:K4"/>
    <mergeCell ref="B4:C4"/>
    <mergeCell ref="D4:E4"/>
    <mergeCell ref="F4:G4"/>
    <mergeCell ref="F5:G5"/>
    <mergeCell ref="B5:C5"/>
    <mergeCell ref="D5:E5"/>
    <mergeCell ref="S3:S6"/>
    <mergeCell ref="P15:Q15"/>
    <mergeCell ref="H5:I5"/>
    <mergeCell ref="J5:K5"/>
    <mergeCell ref="L5:M5"/>
    <mergeCell ref="N5:O5"/>
    <mergeCell ref="P5:Q5"/>
  </mergeCells>
  <phoneticPr fontId="10" type="noConversion"/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71D34118AB043A84122845CE4442B" ma:contentTypeVersion="13" ma:contentTypeDescription="Create a new document." ma:contentTypeScope="" ma:versionID="ad9352f50e6893727396f1437e6d35fe">
  <xsd:schema xmlns:xsd="http://www.w3.org/2001/XMLSchema" xmlns:xs="http://www.w3.org/2001/XMLSchema" xmlns:p="http://schemas.microsoft.com/office/2006/metadata/properties" xmlns:ns2="6b9c501c-58a7-4684-ac6b-cacb0bbda446" xmlns:ns3="05ae06be-15d9-46bd-bcfe-bd38703688c6" targetNamespace="http://schemas.microsoft.com/office/2006/metadata/properties" ma:root="true" ma:fieldsID="3b33fb7f3c6f59eedc8b0b91b7b230ac" ns2:_="" ns3:_="">
    <xsd:import namespace="6b9c501c-58a7-4684-ac6b-cacb0bbda446"/>
    <xsd:import namespace="05ae06be-15d9-46bd-bcfe-bd3870368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c501c-58a7-4684-ac6b-cacb0bbda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e06be-15d9-46bd-bcfe-bd3870368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5ae06be-15d9-46bd-bcfe-bd38703688c6">5456MLPZ9F5K-63528978-426715</_dlc_DocId>
    <_dlc_DocIdUrl xmlns="05ae06be-15d9-46bd-bcfe-bd38703688c6">
      <Url>https://texasrebuilds.sharepoint.com/sites/team-sites/rpp/pd/_layouts/15/DocIdRedir.aspx?ID=5456MLPZ9F5K-63528978-426715</Url>
      <Description>5456MLPZ9F5K-63528978-426715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1244FBA-E388-4787-9EB6-C96EC2C89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9c501c-58a7-4684-ac6b-cacb0bbda446"/>
    <ds:schemaRef ds:uri="05ae06be-15d9-46bd-bcfe-bd3870368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2E868-0477-4173-8FA2-8C04636207CA}">
  <ds:schemaRefs>
    <ds:schemaRef ds:uri="http://schemas.microsoft.com/office/2006/metadata/properties"/>
    <ds:schemaRef ds:uri="http://schemas.microsoft.com/office/infopath/2007/PartnerControls"/>
    <ds:schemaRef ds:uri="05ae06be-15d9-46bd-bcfe-bd38703688c6"/>
  </ds:schemaRefs>
</ds:datastoreItem>
</file>

<file path=customXml/itemProps3.xml><?xml version="1.0" encoding="utf-8"?>
<ds:datastoreItem xmlns:ds="http://schemas.openxmlformats.org/officeDocument/2006/customXml" ds:itemID="{CF1F8FF2-AFD4-4211-ADBC-C09471CD9E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B067C9-E76E-457E-AA67-652B688D46D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1.Allocation Summary</vt:lpstr>
      <vt:lpstr>2. HUD MID Calculation</vt:lpstr>
      <vt:lpstr>3.State MID Calculation</vt:lpstr>
      <vt:lpstr>'1.Allocation Summary'!Print_Area</vt:lpstr>
      <vt:lpstr>'2. HUD MID Calculation'!Print_Area</vt:lpstr>
      <vt:lpstr>'3.State MID Calculation'!Print_Area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Swift</dc:creator>
  <cp:keywords/>
  <dc:description/>
  <cp:lastModifiedBy>Mary Afuso</cp:lastModifiedBy>
  <cp:revision/>
  <cp:lastPrinted>2022-07-27T14:32:06Z</cp:lastPrinted>
  <dcterms:created xsi:type="dcterms:W3CDTF">2021-05-27T15:32:20Z</dcterms:created>
  <dcterms:modified xsi:type="dcterms:W3CDTF">2022-08-10T19:22:29Z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0x010100F6371D34118AB043A84122845CE4442B</vt:lpwstr>
  </property>
  <property fmtid="{D5CDD505-2E9C-101B-9397-08002B2CF9AE}" pid="3" name="_dlc_DocIdItemGuid">
    <vt:lpwstr>eca46e5c-5e61-4c5c-8b59-213fde40deed</vt:lpwstr>
  </property>
</Properties>
</file>